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200" windowHeight="8340" activeTab="0"/>
  </bookViews>
  <sheets>
    <sheet name="Sheet1" sheetId="1" r:id="rId1"/>
    <sheet name="Sheet2" sheetId="2" r:id="rId2"/>
  </sheets>
  <definedNames>
    <definedName name="DataRange">'Sheet1'!$C$3:$C$9,'Sheet1'!$I$3:$I$7</definedName>
    <definedName name="FillAccel">'Sheet1'!$M$36:$M$122</definedName>
    <definedName name="FillRange">'Sheet1'!$I$36:$J$122</definedName>
    <definedName name="Maxht">'Sheet1'!$I$9</definedName>
    <definedName name="Maxtime">'Sheet1'!$B$125</definedName>
    <definedName name="_xlnm.Print_Area" localSheetId="0">'Sheet1'!$A$1:$K$45</definedName>
    <definedName name="YScaleMax">'Sheet1'!$K$128</definedName>
    <definedName name="YScaleMin">'Sheet1'!$I$129</definedName>
  </definedNames>
  <calcPr fullCalcOnLoad="1"/>
</workbook>
</file>

<file path=xl/sharedStrings.xml><?xml version="1.0" encoding="utf-8"?>
<sst xmlns="http://schemas.openxmlformats.org/spreadsheetml/2006/main" count="73" uniqueCount="63">
  <si>
    <t>Exhaust diameter=</t>
  </si>
  <si>
    <t>Filling ratio=</t>
  </si>
  <si>
    <t>grams =</t>
  </si>
  <si>
    <t>Pa</t>
  </si>
  <si>
    <t>m2</t>
  </si>
  <si>
    <t xml:space="preserve"> </t>
  </si>
  <si>
    <t>m3</t>
  </si>
  <si>
    <t>kg</t>
  </si>
  <si>
    <t>Cross section, Ar=</t>
  </si>
  <si>
    <t>-</t>
  </si>
  <si>
    <t>Water density =</t>
  </si>
  <si>
    <t>kg/m3</t>
  </si>
  <si>
    <t>Air density =</t>
  </si>
  <si>
    <t>m/s2</t>
  </si>
  <si>
    <t>speed</t>
  </si>
  <si>
    <t>height</t>
  </si>
  <si>
    <t>m</t>
  </si>
  <si>
    <t>Drag coeff, Cd=</t>
  </si>
  <si>
    <t>cm-&gt;A=</t>
  </si>
  <si>
    <t>g=</t>
  </si>
  <si>
    <t>Maximum elevation</t>
  </si>
  <si>
    <t>accele-</t>
  </si>
  <si>
    <t>ration</t>
  </si>
  <si>
    <t xml:space="preserve"> mass</t>
  </si>
  <si>
    <t xml:space="preserve">  Drag</t>
  </si>
  <si>
    <t>Solid mass =</t>
  </si>
  <si>
    <t>ccm    =</t>
  </si>
  <si>
    <t>For explanations, see the "Word" file " Rockets".</t>
  </si>
  <si>
    <t>Acc/g</t>
  </si>
  <si>
    <t>[-]</t>
  </si>
  <si>
    <t>time</t>
  </si>
  <si>
    <t>V/Vtot</t>
  </si>
  <si>
    <t>Start overpressure P+=</t>
  </si>
  <si>
    <t>Atm. pressure Pa=</t>
  </si>
  <si>
    <t>hPa</t>
  </si>
  <si>
    <t>atm=&gt;Po=</t>
  </si>
  <si>
    <t>Total volume =</t>
  </si>
  <si>
    <t>[m/s]</t>
  </si>
  <si>
    <t>[s]</t>
  </si>
  <si>
    <t>P/Pa</t>
  </si>
  <si>
    <t>time count</t>
  </si>
  <si>
    <t>Temperature, T=</t>
  </si>
  <si>
    <t>deg Celsius</t>
  </si>
  <si>
    <t>[kg]</t>
  </si>
  <si>
    <t>[N]</t>
  </si>
  <si>
    <t>[m/s2]</t>
  </si>
  <si>
    <t>[m]</t>
  </si>
  <si>
    <t xml:space="preserve">Thrust </t>
  </si>
  <si>
    <t>Air mass</t>
  </si>
  <si>
    <t>Tempe-</t>
  </si>
  <si>
    <t>rature</t>
  </si>
  <si>
    <t>[Kelvin]</t>
  </si>
  <si>
    <t>All water is now expelled</t>
  </si>
  <si>
    <t>The pressure inside is now atmospheric</t>
  </si>
  <si>
    <t>Simulation of air-water rockets, fired vertically.</t>
  </si>
  <si>
    <t>Parameters may be set in the green cells</t>
  </si>
  <si>
    <t>Speed</t>
  </si>
  <si>
    <t>Plot</t>
  </si>
  <si>
    <t>MaxTime</t>
  </si>
  <si>
    <t>Max</t>
  </si>
  <si>
    <t>Min</t>
  </si>
  <si>
    <t>Scales</t>
  </si>
  <si>
    <t xml:space="preserve">Plot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</si>
</sst>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E+0"/>
  </numFmts>
  <fonts count="7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8.75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/>
    </xf>
    <xf numFmtId="174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75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173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2" fontId="3" fillId="3" borderId="0" xfId="0" applyNumberFormat="1" applyFont="1" applyFill="1" applyAlignment="1">
      <alignment horizontal="center"/>
    </xf>
    <xf numFmtId="175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/>
    </xf>
    <xf numFmtId="175" fontId="3" fillId="3" borderId="0" xfId="0" applyNumberFormat="1" applyFont="1" applyFill="1" applyAlignment="1">
      <alignment/>
    </xf>
    <xf numFmtId="173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5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44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velocity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Sheet1!$B$34:$B$122</c:f>
              <c:numCache/>
            </c:numRef>
          </c:xVal>
          <c:yVal>
            <c:numRef>
              <c:f>Sheet1!$I$34:$I$122</c:f>
              <c:numCache/>
            </c:numRef>
          </c:yVal>
          <c:smooth val="0"/>
        </c:ser>
        <c:ser>
          <c:idx val="1"/>
          <c:order val="1"/>
          <c:tx>
            <c:v>elevation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8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9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0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1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2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3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4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5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6"/>
            <c:spPr>
              <a:solidFill>
                <a:srgbClr val="000000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7"/>
            <c:spPr>
              <a:solidFill>
                <a:srgbClr val="FFFFFF"/>
              </a:solid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8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Sheet1!$B$34:$B$122</c:f>
              <c:numCache/>
            </c:numRef>
          </c:xVal>
          <c:yVal>
            <c:numRef>
              <c:f>Sheet1!$J$34:$J$122</c:f>
              <c:numCache/>
            </c:numRef>
          </c:yVal>
          <c:smooth val="0"/>
        </c:ser>
        <c:ser>
          <c:idx val="2"/>
          <c:order val="2"/>
          <c:tx>
            <c:v>acceleration/g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Sheet1!$B$34:$B$122</c:f>
              <c:numCache/>
            </c:numRef>
          </c:xVal>
          <c:yVal>
            <c:numRef>
              <c:f>Sheet1!$M$34:$M$122</c:f>
              <c:numCache/>
            </c:numRef>
          </c:yVal>
          <c:smooth val="0"/>
        </c:ser>
        <c:axId val="64272415"/>
        <c:axId val="41580824"/>
      </c:scatterChart>
      <c:valAx>
        <c:axId val="6427241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crossBetween val="midCat"/>
        <c:dispUnits/>
      </c:valAx>
      <c:valAx>
        <c:axId val="41580824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Height , Velocity , Accel.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6"/>
          <c:w val="0.22925"/>
          <c:h val="0.1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0.50825</cdr:y>
    </cdr:from>
    <cdr:to>
      <cdr:x>0.50475</cdr:x>
      <cdr:y>0.578</cdr:y>
    </cdr:to>
    <cdr:sp>
      <cdr:nvSpPr>
        <cdr:cNvPr id="1" name="TextBox 8"/>
        <cdr:cNvSpPr txBox="1">
          <a:spLocks noChangeArrowheads="1"/>
        </cdr:cNvSpPr>
      </cdr:nvSpPr>
      <cdr:spPr>
        <a:xfrm>
          <a:off x="2714625" y="1733550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0.5145</cdr:y>
    </cdr:from>
    <cdr:to>
      <cdr:x>0.483</cdr:x>
      <cdr:y>0.58125</cdr:y>
    </cdr:to>
    <cdr:sp>
      <cdr:nvSpPr>
        <cdr:cNvPr id="2" name="TextBox 9"/>
        <cdr:cNvSpPr txBox="1">
          <a:spLocks noChangeArrowheads="1"/>
        </cdr:cNvSpPr>
      </cdr:nvSpPr>
      <cdr:spPr>
        <a:xfrm>
          <a:off x="2609850" y="17526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11</xdr:col>
      <xdr:colOff>0</xdr:colOff>
      <xdr:row>30</xdr:row>
      <xdr:rowOff>47625</xdr:rowOff>
    </xdr:to>
    <xdr:graphicFrame>
      <xdr:nvGraphicFramePr>
        <xdr:cNvPr id="1" name="Chart 6"/>
        <xdr:cNvGraphicFramePr/>
      </xdr:nvGraphicFramePr>
      <xdr:xfrm>
        <a:off x="0" y="1485900"/>
        <a:ext cx="5572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228600</xdr:colOff>
      <xdr:row>25</xdr:row>
      <xdr:rowOff>85725</xdr:rowOff>
    </xdr:from>
    <xdr:ext cx="76200" cy="200025"/>
    <xdr:sp>
      <xdr:nvSpPr>
        <xdr:cNvPr id="2" name="TextBox 7"/>
        <xdr:cNvSpPr txBox="1">
          <a:spLocks noChangeArrowheads="1"/>
        </xdr:cNvSpPr>
      </xdr:nvSpPr>
      <xdr:spPr>
        <a:xfrm>
          <a:off x="3114675" y="413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</xdr:col>
      <xdr:colOff>485775</xdr:colOff>
      <xdr:row>8</xdr:row>
      <xdr:rowOff>104775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923925" y="1000125"/>
          <a:ext cx="171450" cy="400050"/>
          <a:chOff x="440" y="26"/>
          <a:chExt cx="162" cy="386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53" y="90"/>
            <a:ext cx="113" cy="287"/>
          </a:xfrm>
          <a:custGeom>
            <a:pathLst>
              <a:path h="287" w="113">
                <a:moveTo>
                  <a:pt x="81" y="1"/>
                </a:moveTo>
                <a:cubicBezTo>
                  <a:pt x="83" y="4"/>
                  <a:pt x="88" y="11"/>
                  <a:pt x="91" y="20"/>
                </a:cubicBezTo>
                <a:cubicBezTo>
                  <a:pt x="94" y="29"/>
                  <a:pt x="97" y="44"/>
                  <a:pt x="99" y="55"/>
                </a:cubicBezTo>
                <a:cubicBezTo>
                  <a:pt x="101" y="66"/>
                  <a:pt x="102" y="68"/>
                  <a:pt x="104" y="86"/>
                </a:cubicBezTo>
                <a:cubicBezTo>
                  <a:pt x="106" y="104"/>
                  <a:pt x="113" y="134"/>
                  <a:pt x="111" y="164"/>
                </a:cubicBezTo>
                <a:cubicBezTo>
                  <a:pt x="109" y="194"/>
                  <a:pt x="99" y="247"/>
                  <a:pt x="90" y="267"/>
                </a:cubicBezTo>
                <a:cubicBezTo>
                  <a:pt x="81" y="287"/>
                  <a:pt x="69" y="285"/>
                  <a:pt x="59" y="286"/>
                </a:cubicBezTo>
                <a:cubicBezTo>
                  <a:pt x="49" y="287"/>
                  <a:pt x="35" y="283"/>
                  <a:pt x="28" y="275"/>
                </a:cubicBezTo>
                <a:cubicBezTo>
                  <a:pt x="21" y="267"/>
                  <a:pt x="21" y="255"/>
                  <a:pt x="17" y="239"/>
                </a:cubicBezTo>
                <a:cubicBezTo>
                  <a:pt x="13" y="223"/>
                  <a:pt x="9" y="200"/>
                  <a:pt x="6" y="179"/>
                </a:cubicBezTo>
                <a:cubicBezTo>
                  <a:pt x="3" y="158"/>
                  <a:pt x="0" y="134"/>
                  <a:pt x="0" y="110"/>
                </a:cubicBezTo>
                <a:cubicBezTo>
                  <a:pt x="0" y="86"/>
                  <a:pt x="4" y="54"/>
                  <a:pt x="7" y="36"/>
                </a:cubicBezTo>
                <a:cubicBezTo>
                  <a:pt x="10" y="18"/>
                  <a:pt x="14" y="8"/>
                  <a:pt x="18" y="4"/>
                </a:cubicBezTo>
                <a:cubicBezTo>
                  <a:pt x="22" y="0"/>
                  <a:pt x="25" y="7"/>
                  <a:pt x="30" y="9"/>
                </a:cubicBezTo>
                <a:cubicBezTo>
                  <a:pt x="35" y="11"/>
                  <a:pt x="44" y="15"/>
                  <a:pt x="50" y="15"/>
                </a:cubicBezTo>
                <a:cubicBezTo>
                  <a:pt x="56" y="15"/>
                  <a:pt x="61" y="12"/>
                  <a:pt x="64" y="11"/>
                </a:cubicBezTo>
                <a:cubicBezTo>
                  <a:pt x="64" y="11"/>
                  <a:pt x="81" y="1"/>
                  <a:pt x="81" y="1"/>
                </a:cubicBezTo>
                <a:close/>
              </a:path>
            </a:pathLst>
          </a:custGeom>
          <a:gradFill rotWithShape="1">
            <a:gsLst>
              <a:gs pos="0">
                <a:srgbClr val="750000"/>
              </a:gs>
              <a:gs pos="50000">
                <a:srgbClr val="FF0000"/>
              </a:gs>
              <a:gs pos="100000">
                <a:srgbClr val="750000"/>
              </a:gs>
            </a:gsLst>
            <a:lin ang="0" scaled="1"/>
          </a:gra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 noChangeAspect="1"/>
          </xdr:cNvSpPr>
        </xdr:nvSpPr>
        <xdr:spPr>
          <a:xfrm>
            <a:off x="476" y="143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472" y="26"/>
            <a:ext cx="63" cy="78"/>
          </a:xfrm>
          <a:custGeom>
            <a:pathLst>
              <a:path h="78" w="63">
                <a:moveTo>
                  <a:pt x="0" y="67"/>
                </a:moveTo>
                <a:lnTo>
                  <a:pt x="27" y="0"/>
                </a:lnTo>
                <a:lnTo>
                  <a:pt x="63" y="65"/>
                </a:lnTo>
                <a:cubicBezTo>
                  <a:pt x="63" y="78"/>
                  <a:pt x="39" y="77"/>
                  <a:pt x="29" y="77"/>
                </a:cubicBezTo>
                <a:cubicBezTo>
                  <a:pt x="19" y="77"/>
                  <a:pt x="6" y="69"/>
                  <a:pt x="0" y="67"/>
                </a:cubicBezTo>
                <a:close/>
              </a:path>
            </a:pathLst>
          </a:custGeom>
          <a:gradFill rotWithShape="1">
            <a:gsLst>
              <a:gs pos="0">
                <a:srgbClr val="757575"/>
              </a:gs>
              <a:gs pos="5000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 noChangeAspect="1"/>
          </xdr:cNvSpPr>
        </xdr:nvSpPr>
        <xdr:spPr>
          <a:xfrm>
            <a:off x="479" y="204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 noChangeAspect="1"/>
          </xdr:cNvSpPr>
        </xdr:nvSpPr>
        <xdr:spPr>
          <a:xfrm>
            <a:off x="486" y="273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Polygon 7"/>
          <xdr:cNvSpPr>
            <a:spLocks noChangeAspect="1"/>
          </xdr:cNvSpPr>
        </xdr:nvSpPr>
        <xdr:spPr>
          <a:xfrm>
            <a:off x="440" y="318"/>
            <a:ext cx="40" cy="94"/>
          </a:xfrm>
          <a:custGeom>
            <a:pathLst>
              <a:path h="94" w="40">
                <a:moveTo>
                  <a:pt x="27" y="0"/>
                </a:moveTo>
                <a:lnTo>
                  <a:pt x="0" y="69"/>
                </a:lnTo>
                <a:lnTo>
                  <a:pt x="11" y="94"/>
                </a:lnTo>
                <a:lnTo>
                  <a:pt x="40" y="46"/>
                </a:lnTo>
              </a:path>
            </a:pathLst>
          </a:custGeom>
          <a:gradFill rotWithShape="1">
            <a:gsLst>
              <a:gs pos="0">
                <a:srgbClr val="757575"/>
              </a:gs>
              <a:gs pos="100000">
                <a:srgbClr val="FFFFFF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olygon 8"/>
          <xdr:cNvSpPr>
            <a:spLocks noChangeAspect="1"/>
          </xdr:cNvSpPr>
        </xdr:nvSpPr>
        <xdr:spPr>
          <a:xfrm>
            <a:off x="548" y="286"/>
            <a:ext cx="54" cy="86"/>
          </a:xfrm>
          <a:custGeom>
            <a:pathLst>
              <a:path h="86" w="54">
                <a:moveTo>
                  <a:pt x="12" y="0"/>
                </a:moveTo>
                <a:lnTo>
                  <a:pt x="54" y="53"/>
                </a:lnTo>
                <a:lnTo>
                  <a:pt x="44" y="86"/>
                </a:lnTo>
                <a:lnTo>
                  <a:pt x="0" y="59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489" y="358"/>
            <a:ext cx="56" cy="39"/>
          </a:xfrm>
          <a:custGeom>
            <a:pathLst>
              <a:path h="39" w="56">
                <a:moveTo>
                  <a:pt x="6" y="16"/>
                </a:moveTo>
                <a:lnTo>
                  <a:pt x="0" y="28"/>
                </a:lnTo>
                <a:cubicBezTo>
                  <a:pt x="0" y="31"/>
                  <a:pt x="0" y="33"/>
                  <a:pt x="3" y="35"/>
                </a:cubicBezTo>
                <a:cubicBezTo>
                  <a:pt x="6" y="37"/>
                  <a:pt x="12" y="39"/>
                  <a:pt x="16" y="39"/>
                </a:cubicBezTo>
                <a:cubicBezTo>
                  <a:pt x="20" y="39"/>
                  <a:pt x="25" y="39"/>
                  <a:pt x="30" y="37"/>
                </a:cubicBezTo>
                <a:cubicBezTo>
                  <a:pt x="35" y="35"/>
                  <a:pt x="44" y="32"/>
                  <a:pt x="48" y="29"/>
                </a:cubicBezTo>
                <a:lnTo>
                  <a:pt x="56" y="20"/>
                </a:lnTo>
                <a:lnTo>
                  <a:pt x="54" y="2"/>
                </a:lnTo>
                <a:cubicBezTo>
                  <a:pt x="53" y="0"/>
                  <a:pt x="50" y="7"/>
                  <a:pt x="48" y="9"/>
                </a:cubicBezTo>
                <a:cubicBezTo>
                  <a:pt x="46" y="11"/>
                  <a:pt x="43" y="14"/>
                  <a:pt x="41" y="15"/>
                </a:cubicBezTo>
                <a:cubicBezTo>
                  <a:pt x="39" y="16"/>
                  <a:pt x="37" y="16"/>
                  <a:pt x="35" y="17"/>
                </a:cubicBezTo>
                <a:cubicBezTo>
                  <a:pt x="33" y="18"/>
                  <a:pt x="32" y="18"/>
                  <a:pt x="29" y="18"/>
                </a:cubicBezTo>
                <a:cubicBezTo>
                  <a:pt x="26" y="18"/>
                  <a:pt x="23" y="19"/>
                  <a:pt x="19" y="19"/>
                </a:cubicBezTo>
                <a:cubicBezTo>
                  <a:pt x="15" y="19"/>
                  <a:pt x="9" y="17"/>
                  <a:pt x="6" y="16"/>
                </a:cubicBezTo>
                <a:close/>
              </a:path>
            </a:pathLst>
          </a:custGeom>
          <a:gradFill rotWithShape="1">
            <a:gsLst>
              <a:gs pos="0">
                <a:srgbClr val="757575"/>
              </a:gs>
              <a:gs pos="5000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6</xdr:row>
      <xdr:rowOff>38100</xdr:rowOff>
    </xdr:from>
    <xdr:to>
      <xdr:col>2</xdr:col>
      <xdr:colOff>361950</xdr:colOff>
      <xdr:row>8</xdr:row>
      <xdr:rowOff>114300</xdr:rowOff>
    </xdr:to>
    <xdr:grpSp>
      <xdr:nvGrpSpPr>
        <xdr:cNvPr id="10" name="Group 10"/>
        <xdr:cNvGrpSpPr>
          <a:grpSpLocks noChangeAspect="1"/>
        </xdr:cNvGrpSpPr>
      </xdr:nvGrpSpPr>
      <xdr:grpSpPr>
        <a:xfrm flipV="1">
          <a:off x="1409700" y="1009650"/>
          <a:ext cx="171450" cy="400050"/>
          <a:chOff x="440" y="26"/>
          <a:chExt cx="162" cy="386"/>
        </a:xfrm>
        <a:solidFill>
          <a:srgbClr val="FFFFFF"/>
        </a:solidFill>
      </xdr:grpSpPr>
      <xdr:sp>
        <xdr:nvSpPr>
          <xdr:cNvPr id="11" name="AutoShape 11"/>
          <xdr:cNvSpPr>
            <a:spLocks noChangeAspect="1"/>
          </xdr:cNvSpPr>
        </xdr:nvSpPr>
        <xdr:spPr>
          <a:xfrm>
            <a:off x="453" y="90"/>
            <a:ext cx="113" cy="287"/>
          </a:xfrm>
          <a:custGeom>
            <a:pathLst>
              <a:path h="287" w="113">
                <a:moveTo>
                  <a:pt x="81" y="1"/>
                </a:moveTo>
                <a:cubicBezTo>
                  <a:pt x="83" y="4"/>
                  <a:pt x="88" y="11"/>
                  <a:pt x="91" y="20"/>
                </a:cubicBezTo>
                <a:cubicBezTo>
                  <a:pt x="94" y="29"/>
                  <a:pt x="97" y="44"/>
                  <a:pt x="99" y="55"/>
                </a:cubicBezTo>
                <a:cubicBezTo>
                  <a:pt x="101" y="66"/>
                  <a:pt x="102" y="68"/>
                  <a:pt x="104" y="86"/>
                </a:cubicBezTo>
                <a:cubicBezTo>
                  <a:pt x="106" y="104"/>
                  <a:pt x="113" y="134"/>
                  <a:pt x="111" y="164"/>
                </a:cubicBezTo>
                <a:cubicBezTo>
                  <a:pt x="109" y="194"/>
                  <a:pt x="99" y="247"/>
                  <a:pt x="90" y="267"/>
                </a:cubicBezTo>
                <a:cubicBezTo>
                  <a:pt x="81" y="287"/>
                  <a:pt x="69" y="285"/>
                  <a:pt x="59" y="286"/>
                </a:cubicBezTo>
                <a:cubicBezTo>
                  <a:pt x="49" y="287"/>
                  <a:pt x="35" y="283"/>
                  <a:pt x="28" y="275"/>
                </a:cubicBezTo>
                <a:cubicBezTo>
                  <a:pt x="21" y="267"/>
                  <a:pt x="21" y="255"/>
                  <a:pt x="17" y="239"/>
                </a:cubicBezTo>
                <a:cubicBezTo>
                  <a:pt x="13" y="223"/>
                  <a:pt x="9" y="200"/>
                  <a:pt x="6" y="179"/>
                </a:cubicBezTo>
                <a:cubicBezTo>
                  <a:pt x="3" y="158"/>
                  <a:pt x="0" y="134"/>
                  <a:pt x="0" y="110"/>
                </a:cubicBezTo>
                <a:cubicBezTo>
                  <a:pt x="0" y="86"/>
                  <a:pt x="4" y="54"/>
                  <a:pt x="7" y="36"/>
                </a:cubicBezTo>
                <a:cubicBezTo>
                  <a:pt x="10" y="18"/>
                  <a:pt x="14" y="8"/>
                  <a:pt x="18" y="4"/>
                </a:cubicBezTo>
                <a:cubicBezTo>
                  <a:pt x="22" y="0"/>
                  <a:pt x="25" y="7"/>
                  <a:pt x="30" y="9"/>
                </a:cubicBezTo>
                <a:cubicBezTo>
                  <a:pt x="35" y="11"/>
                  <a:pt x="44" y="15"/>
                  <a:pt x="50" y="15"/>
                </a:cubicBezTo>
                <a:cubicBezTo>
                  <a:pt x="56" y="15"/>
                  <a:pt x="61" y="12"/>
                  <a:pt x="64" y="11"/>
                </a:cubicBezTo>
                <a:cubicBezTo>
                  <a:pt x="64" y="11"/>
                  <a:pt x="81" y="1"/>
                  <a:pt x="81" y="1"/>
                </a:cubicBezTo>
                <a:close/>
              </a:path>
            </a:pathLst>
          </a:custGeom>
          <a:gradFill rotWithShape="1">
            <a:gsLst>
              <a:gs pos="0">
                <a:srgbClr val="750000"/>
              </a:gs>
              <a:gs pos="50000">
                <a:srgbClr val="FF0000"/>
              </a:gs>
              <a:gs pos="100000">
                <a:srgbClr val="750000"/>
              </a:gs>
            </a:gsLst>
            <a:lin ang="0" scaled="1"/>
          </a:gra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 noChangeAspect="1"/>
          </xdr:cNvSpPr>
        </xdr:nvSpPr>
        <xdr:spPr>
          <a:xfrm>
            <a:off x="476" y="143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 noChangeAspect="1"/>
          </xdr:cNvSpPr>
        </xdr:nvSpPr>
        <xdr:spPr>
          <a:xfrm>
            <a:off x="472" y="26"/>
            <a:ext cx="63" cy="78"/>
          </a:xfrm>
          <a:custGeom>
            <a:pathLst>
              <a:path h="78" w="63">
                <a:moveTo>
                  <a:pt x="0" y="67"/>
                </a:moveTo>
                <a:lnTo>
                  <a:pt x="27" y="0"/>
                </a:lnTo>
                <a:lnTo>
                  <a:pt x="63" y="65"/>
                </a:lnTo>
                <a:cubicBezTo>
                  <a:pt x="63" y="78"/>
                  <a:pt x="39" y="77"/>
                  <a:pt x="29" y="77"/>
                </a:cubicBezTo>
                <a:cubicBezTo>
                  <a:pt x="19" y="77"/>
                  <a:pt x="6" y="69"/>
                  <a:pt x="0" y="67"/>
                </a:cubicBezTo>
                <a:close/>
              </a:path>
            </a:pathLst>
          </a:custGeom>
          <a:gradFill rotWithShape="1">
            <a:gsLst>
              <a:gs pos="0">
                <a:srgbClr val="757575"/>
              </a:gs>
              <a:gs pos="5000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 noChangeAspect="1"/>
          </xdr:cNvSpPr>
        </xdr:nvSpPr>
        <xdr:spPr>
          <a:xfrm>
            <a:off x="479" y="204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 noChangeAspect="1"/>
          </xdr:cNvSpPr>
        </xdr:nvSpPr>
        <xdr:spPr>
          <a:xfrm>
            <a:off x="486" y="273"/>
            <a:ext cx="40" cy="40"/>
          </a:xfrm>
          <a:prstGeom prst="ellipse">
            <a:avLst/>
          </a:prstGeom>
          <a:gradFill rotWithShape="1">
            <a:gsLst>
              <a:gs pos="0">
                <a:srgbClr val="99CCFF"/>
              </a:gs>
              <a:gs pos="100000">
                <a:srgbClr val="465E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Polygon 16"/>
          <xdr:cNvSpPr>
            <a:spLocks noChangeAspect="1"/>
          </xdr:cNvSpPr>
        </xdr:nvSpPr>
        <xdr:spPr>
          <a:xfrm>
            <a:off x="440" y="318"/>
            <a:ext cx="40" cy="94"/>
          </a:xfrm>
          <a:custGeom>
            <a:pathLst>
              <a:path h="94" w="40">
                <a:moveTo>
                  <a:pt x="27" y="0"/>
                </a:moveTo>
                <a:lnTo>
                  <a:pt x="0" y="69"/>
                </a:lnTo>
                <a:lnTo>
                  <a:pt x="11" y="94"/>
                </a:lnTo>
                <a:lnTo>
                  <a:pt x="40" y="46"/>
                </a:lnTo>
              </a:path>
            </a:pathLst>
          </a:custGeom>
          <a:gradFill rotWithShape="1">
            <a:gsLst>
              <a:gs pos="0">
                <a:srgbClr val="757575"/>
              </a:gs>
              <a:gs pos="100000">
                <a:srgbClr val="FFFFFF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Polygon 17"/>
          <xdr:cNvSpPr>
            <a:spLocks noChangeAspect="1"/>
          </xdr:cNvSpPr>
        </xdr:nvSpPr>
        <xdr:spPr>
          <a:xfrm>
            <a:off x="548" y="286"/>
            <a:ext cx="54" cy="86"/>
          </a:xfrm>
          <a:custGeom>
            <a:pathLst>
              <a:path h="86" w="54">
                <a:moveTo>
                  <a:pt x="12" y="0"/>
                </a:moveTo>
                <a:lnTo>
                  <a:pt x="54" y="53"/>
                </a:lnTo>
                <a:lnTo>
                  <a:pt x="44" y="86"/>
                </a:lnTo>
                <a:lnTo>
                  <a:pt x="0" y="59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 noChangeAspect="1"/>
          </xdr:cNvSpPr>
        </xdr:nvSpPr>
        <xdr:spPr>
          <a:xfrm>
            <a:off x="489" y="358"/>
            <a:ext cx="56" cy="39"/>
          </a:xfrm>
          <a:custGeom>
            <a:pathLst>
              <a:path h="39" w="56">
                <a:moveTo>
                  <a:pt x="6" y="16"/>
                </a:moveTo>
                <a:lnTo>
                  <a:pt x="0" y="28"/>
                </a:lnTo>
                <a:cubicBezTo>
                  <a:pt x="0" y="31"/>
                  <a:pt x="0" y="33"/>
                  <a:pt x="3" y="35"/>
                </a:cubicBezTo>
                <a:cubicBezTo>
                  <a:pt x="6" y="37"/>
                  <a:pt x="12" y="39"/>
                  <a:pt x="16" y="39"/>
                </a:cubicBezTo>
                <a:cubicBezTo>
                  <a:pt x="20" y="39"/>
                  <a:pt x="25" y="39"/>
                  <a:pt x="30" y="37"/>
                </a:cubicBezTo>
                <a:cubicBezTo>
                  <a:pt x="35" y="35"/>
                  <a:pt x="44" y="32"/>
                  <a:pt x="48" y="29"/>
                </a:cubicBezTo>
                <a:lnTo>
                  <a:pt x="56" y="20"/>
                </a:lnTo>
                <a:lnTo>
                  <a:pt x="54" y="2"/>
                </a:lnTo>
                <a:cubicBezTo>
                  <a:pt x="53" y="0"/>
                  <a:pt x="50" y="7"/>
                  <a:pt x="48" y="9"/>
                </a:cubicBezTo>
                <a:cubicBezTo>
                  <a:pt x="46" y="11"/>
                  <a:pt x="43" y="14"/>
                  <a:pt x="41" y="15"/>
                </a:cubicBezTo>
                <a:cubicBezTo>
                  <a:pt x="39" y="16"/>
                  <a:pt x="37" y="16"/>
                  <a:pt x="35" y="17"/>
                </a:cubicBezTo>
                <a:cubicBezTo>
                  <a:pt x="33" y="18"/>
                  <a:pt x="32" y="18"/>
                  <a:pt x="29" y="18"/>
                </a:cubicBezTo>
                <a:cubicBezTo>
                  <a:pt x="26" y="18"/>
                  <a:pt x="23" y="19"/>
                  <a:pt x="19" y="19"/>
                </a:cubicBezTo>
                <a:cubicBezTo>
                  <a:pt x="15" y="19"/>
                  <a:pt x="9" y="17"/>
                  <a:pt x="6" y="16"/>
                </a:cubicBezTo>
                <a:close/>
              </a:path>
            </a:pathLst>
          </a:custGeom>
          <a:gradFill rotWithShape="1">
            <a:gsLst>
              <a:gs pos="0">
                <a:srgbClr val="757575"/>
              </a:gs>
              <a:gs pos="5000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600075</xdr:colOff>
      <xdr:row>6</xdr:row>
      <xdr:rowOff>114300</xdr:rowOff>
    </xdr:from>
    <xdr:to>
      <xdr:col>3</xdr:col>
      <xdr:colOff>314325</xdr:colOff>
      <xdr:row>8</xdr:row>
      <xdr:rowOff>47625</xdr:rowOff>
    </xdr:to>
    <xdr:grpSp>
      <xdr:nvGrpSpPr>
        <xdr:cNvPr id="19" name="Group 19"/>
        <xdr:cNvGrpSpPr>
          <a:grpSpLocks noChangeAspect="1"/>
        </xdr:cNvGrpSpPr>
      </xdr:nvGrpSpPr>
      <xdr:grpSpPr>
        <a:xfrm rot="18060000">
          <a:off x="1819275" y="1085850"/>
          <a:ext cx="323850" cy="257175"/>
          <a:chOff x="178" y="145"/>
          <a:chExt cx="97" cy="123"/>
        </a:xfrm>
        <a:solidFill>
          <a:srgbClr val="FFFFFF"/>
        </a:solidFill>
      </xdr:grpSpPr>
      <xdr:grpSp>
        <xdr:nvGrpSpPr>
          <xdr:cNvPr id="20" name="Group 20"/>
          <xdr:cNvGrpSpPr>
            <a:grpSpLocks noChangeAspect="1"/>
          </xdr:cNvGrpSpPr>
        </xdr:nvGrpSpPr>
        <xdr:grpSpPr>
          <a:xfrm>
            <a:off x="178" y="145"/>
            <a:ext cx="97" cy="123"/>
            <a:chOff x="178" y="145"/>
            <a:chExt cx="97" cy="123"/>
          </a:xfrm>
          <a:solidFill>
            <a:srgbClr val="FFFFFF"/>
          </a:solidFill>
        </xdr:grpSpPr>
        <xdr:sp>
          <xdr:nvSpPr>
            <xdr:cNvPr id="21" name="AutoShape 21"/>
            <xdr:cNvSpPr>
              <a:spLocks noChangeAspect="1"/>
            </xdr:cNvSpPr>
          </xdr:nvSpPr>
          <xdr:spPr>
            <a:xfrm>
              <a:off x="186" y="147"/>
              <a:ext cx="64" cy="100"/>
            </a:xfrm>
            <a:custGeom>
              <a:pathLst>
                <a:path h="100" w="64">
                  <a:moveTo>
                    <a:pt x="50" y="99"/>
                  </a:moveTo>
                  <a:cubicBezTo>
                    <a:pt x="52" y="98"/>
                    <a:pt x="52" y="91"/>
                    <a:pt x="52" y="88"/>
                  </a:cubicBezTo>
                  <a:cubicBezTo>
                    <a:pt x="52" y="85"/>
                    <a:pt x="48" y="83"/>
                    <a:pt x="48" y="80"/>
                  </a:cubicBezTo>
                  <a:cubicBezTo>
                    <a:pt x="48" y="77"/>
                    <a:pt x="51" y="75"/>
                    <a:pt x="50" y="72"/>
                  </a:cubicBezTo>
                  <a:cubicBezTo>
                    <a:pt x="49" y="69"/>
                    <a:pt x="43" y="67"/>
                    <a:pt x="43" y="63"/>
                  </a:cubicBezTo>
                  <a:cubicBezTo>
                    <a:pt x="43" y="59"/>
                    <a:pt x="47" y="52"/>
                    <a:pt x="50" y="47"/>
                  </a:cubicBezTo>
                  <a:cubicBezTo>
                    <a:pt x="53" y="42"/>
                    <a:pt x="62" y="38"/>
                    <a:pt x="63" y="31"/>
                  </a:cubicBezTo>
                  <a:cubicBezTo>
                    <a:pt x="64" y="24"/>
                    <a:pt x="61" y="12"/>
                    <a:pt x="56" y="7"/>
                  </a:cubicBezTo>
                  <a:cubicBezTo>
                    <a:pt x="51" y="2"/>
                    <a:pt x="40" y="0"/>
                    <a:pt x="35" y="0"/>
                  </a:cubicBezTo>
                  <a:cubicBezTo>
                    <a:pt x="30" y="0"/>
                    <a:pt x="27" y="7"/>
                    <a:pt x="24" y="8"/>
                  </a:cubicBezTo>
                  <a:cubicBezTo>
                    <a:pt x="21" y="9"/>
                    <a:pt x="18" y="3"/>
                    <a:pt x="15" y="4"/>
                  </a:cubicBezTo>
                  <a:cubicBezTo>
                    <a:pt x="12" y="5"/>
                    <a:pt x="8" y="11"/>
                    <a:pt x="7" y="17"/>
                  </a:cubicBezTo>
                  <a:cubicBezTo>
                    <a:pt x="6" y="23"/>
                    <a:pt x="8" y="36"/>
                    <a:pt x="7" y="41"/>
                  </a:cubicBezTo>
                  <a:cubicBezTo>
                    <a:pt x="6" y="46"/>
                    <a:pt x="0" y="45"/>
                    <a:pt x="0" y="48"/>
                  </a:cubicBezTo>
                  <a:cubicBezTo>
                    <a:pt x="0" y="51"/>
                    <a:pt x="5" y="53"/>
                    <a:pt x="5" y="57"/>
                  </a:cubicBezTo>
                  <a:cubicBezTo>
                    <a:pt x="5" y="61"/>
                    <a:pt x="0" y="66"/>
                    <a:pt x="0" y="70"/>
                  </a:cubicBezTo>
                  <a:cubicBezTo>
                    <a:pt x="0" y="74"/>
                    <a:pt x="4" y="78"/>
                    <a:pt x="5" y="83"/>
                  </a:cubicBezTo>
                  <a:cubicBezTo>
                    <a:pt x="6" y="88"/>
                    <a:pt x="6" y="96"/>
                    <a:pt x="8" y="98"/>
                  </a:cubicBezTo>
                  <a:cubicBezTo>
                    <a:pt x="10" y="100"/>
                    <a:pt x="13" y="97"/>
                    <a:pt x="16" y="96"/>
                  </a:cubicBezTo>
                  <a:cubicBezTo>
                    <a:pt x="19" y="95"/>
                    <a:pt x="25" y="94"/>
                    <a:pt x="29" y="94"/>
                  </a:cubicBezTo>
                  <a:cubicBezTo>
                    <a:pt x="33" y="94"/>
                    <a:pt x="36" y="95"/>
                    <a:pt x="38" y="95"/>
                  </a:cubicBezTo>
                  <a:cubicBezTo>
                    <a:pt x="38" y="95"/>
                    <a:pt x="48" y="100"/>
                    <a:pt x="50" y="99"/>
                  </a:cubicBezTo>
                  <a:close/>
                </a:path>
              </a:pathLst>
            </a:custGeom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 flipV="1">
              <a:off x="197" y="213"/>
              <a:ext cx="27" cy="14"/>
            </a:xfrm>
            <a:prstGeom prst="ellipse">
              <a:avLst/>
            </a:prstGeom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 noChangeAspect="1"/>
            </xdr:cNvSpPr>
          </xdr:nvSpPr>
          <xdr:spPr>
            <a:xfrm>
              <a:off x="194" y="241"/>
              <a:ext cx="42" cy="27"/>
            </a:xfrm>
            <a:custGeom>
              <a:pathLst>
                <a:path h="27" w="42">
                  <a:moveTo>
                    <a:pt x="0" y="4"/>
                  </a:moveTo>
                  <a:lnTo>
                    <a:pt x="13" y="15"/>
                  </a:lnTo>
                  <a:lnTo>
                    <a:pt x="18" y="27"/>
                  </a:lnTo>
                  <a:lnTo>
                    <a:pt x="26" y="12"/>
                  </a:lnTo>
                  <a:lnTo>
                    <a:pt x="42" y="4"/>
                  </a:lnTo>
                  <a:cubicBezTo>
                    <a:pt x="41" y="2"/>
                    <a:pt x="26" y="0"/>
                    <a:pt x="19" y="0"/>
                  </a:cubicBezTo>
                  <a:cubicBezTo>
                    <a:pt x="13" y="0"/>
                    <a:pt x="2" y="1"/>
                    <a:pt x="0" y="4"/>
                  </a:cubicBezTo>
                  <a:close/>
                </a:path>
              </a:pathLst>
            </a:cu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 flipV="1">
              <a:off x="199" y="192"/>
              <a:ext cx="27" cy="14"/>
            </a:xfrm>
            <a:prstGeom prst="ellipse">
              <a:avLst/>
            </a:prstGeom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 flipV="1">
              <a:off x="204" y="168"/>
              <a:ext cx="26" cy="14"/>
            </a:xfrm>
            <a:prstGeom prst="ellipse">
              <a:avLst/>
            </a:prstGeom>
            <a:gradFill rotWithShape="1">
              <a:gsLst>
                <a:gs pos="0">
                  <a:srgbClr val="99CCFF"/>
                </a:gs>
                <a:gs pos="100000">
                  <a:srgbClr val="465E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Polygon 26"/>
            <xdr:cNvSpPr>
              <a:spLocks noChangeAspect="1"/>
            </xdr:cNvSpPr>
          </xdr:nvSpPr>
          <xdr:spPr>
            <a:xfrm>
              <a:off x="178" y="153"/>
              <a:ext cx="26" cy="21"/>
            </a:xfrm>
            <a:custGeom>
              <a:pathLst>
                <a:path h="21" w="26">
                  <a:moveTo>
                    <a:pt x="26" y="17"/>
                  </a:moveTo>
                  <a:lnTo>
                    <a:pt x="12" y="14"/>
                  </a:lnTo>
                  <a:lnTo>
                    <a:pt x="1" y="21"/>
                  </a:lnTo>
                  <a:lnTo>
                    <a:pt x="0" y="9"/>
                  </a:lnTo>
                  <a:lnTo>
                    <a:pt x="7" y="3"/>
                  </a:lnTo>
                  <a:lnTo>
                    <a:pt x="18" y="0"/>
                  </a:lnTo>
                </a:path>
              </a:pathLst>
            </a:custGeom>
            <a:gradFill rotWithShape="1">
              <a:gsLst>
                <a:gs pos="0">
                  <a:srgbClr val="757575"/>
                </a:gs>
                <a:gs pos="100000">
                  <a:srgbClr val="FFFFFF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Polygon 27"/>
            <xdr:cNvSpPr>
              <a:spLocks noChangeAspect="1"/>
            </xdr:cNvSpPr>
          </xdr:nvSpPr>
          <xdr:spPr>
            <a:xfrm>
              <a:off x="241" y="162"/>
              <a:ext cx="34" cy="27"/>
            </a:xfrm>
            <a:custGeom>
              <a:pathLst>
                <a:path h="27" w="34">
                  <a:moveTo>
                    <a:pt x="0" y="20"/>
                  </a:moveTo>
                  <a:lnTo>
                    <a:pt x="15" y="18"/>
                  </a:lnTo>
                  <a:lnTo>
                    <a:pt x="29" y="27"/>
                  </a:lnTo>
                  <a:lnTo>
                    <a:pt x="34" y="17"/>
                  </a:lnTo>
                  <a:lnTo>
                    <a:pt x="20" y="6"/>
                  </a:lnTo>
                  <a:lnTo>
                    <a:pt x="7" y="0"/>
                  </a:ln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 noChangeAspect="1"/>
            </xdr:cNvSpPr>
          </xdr:nvSpPr>
          <xdr:spPr>
            <a:xfrm flipV="1">
              <a:off x="205" y="145"/>
              <a:ext cx="37" cy="14"/>
            </a:xfrm>
            <a:custGeom>
              <a:pathLst>
                <a:path h="39" w="56">
                  <a:moveTo>
                    <a:pt x="6" y="16"/>
                  </a:moveTo>
                  <a:lnTo>
                    <a:pt x="0" y="28"/>
                  </a:lnTo>
                  <a:cubicBezTo>
                    <a:pt x="0" y="31"/>
                    <a:pt x="0" y="33"/>
                    <a:pt x="3" y="35"/>
                  </a:cubicBezTo>
                  <a:cubicBezTo>
                    <a:pt x="6" y="37"/>
                    <a:pt x="12" y="39"/>
                    <a:pt x="16" y="39"/>
                  </a:cubicBezTo>
                  <a:cubicBezTo>
                    <a:pt x="20" y="39"/>
                    <a:pt x="25" y="39"/>
                    <a:pt x="30" y="37"/>
                  </a:cubicBezTo>
                  <a:cubicBezTo>
                    <a:pt x="35" y="35"/>
                    <a:pt x="44" y="32"/>
                    <a:pt x="48" y="29"/>
                  </a:cubicBezTo>
                  <a:lnTo>
                    <a:pt x="56" y="20"/>
                  </a:lnTo>
                  <a:lnTo>
                    <a:pt x="54" y="2"/>
                  </a:lnTo>
                  <a:cubicBezTo>
                    <a:pt x="53" y="0"/>
                    <a:pt x="50" y="7"/>
                    <a:pt x="48" y="9"/>
                  </a:cubicBezTo>
                  <a:cubicBezTo>
                    <a:pt x="46" y="11"/>
                    <a:pt x="43" y="14"/>
                    <a:pt x="41" y="15"/>
                  </a:cubicBezTo>
                  <a:cubicBezTo>
                    <a:pt x="39" y="16"/>
                    <a:pt x="37" y="16"/>
                    <a:pt x="35" y="17"/>
                  </a:cubicBezTo>
                  <a:cubicBezTo>
                    <a:pt x="33" y="18"/>
                    <a:pt x="32" y="18"/>
                    <a:pt x="29" y="18"/>
                  </a:cubicBezTo>
                  <a:cubicBezTo>
                    <a:pt x="26" y="18"/>
                    <a:pt x="23" y="19"/>
                    <a:pt x="19" y="19"/>
                  </a:cubicBezTo>
                  <a:cubicBezTo>
                    <a:pt x="15" y="19"/>
                    <a:pt x="9" y="17"/>
                    <a:pt x="6" y="16"/>
                  </a:cubicBezTo>
                  <a:close/>
                </a:path>
              </a:pathLst>
            </a:custGeom>
            <a:gradFill rotWithShape="1">
              <a:gsLst>
                <a:gs pos="0">
                  <a:srgbClr val="757575"/>
                </a:gs>
                <a:gs pos="5000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Polygon 29"/>
          <xdr:cNvSpPr>
            <a:spLocks noChangeAspect="1"/>
          </xdr:cNvSpPr>
        </xdr:nvSpPr>
        <xdr:spPr>
          <a:xfrm>
            <a:off x="213" y="169"/>
            <a:ext cx="7" cy="13"/>
          </a:xfrm>
          <a:custGeom>
            <a:pathLst>
              <a:path h="13" w="7">
                <a:moveTo>
                  <a:pt x="4" y="0"/>
                </a:moveTo>
                <a:lnTo>
                  <a:pt x="2" y="3"/>
                </a:lnTo>
                <a:lnTo>
                  <a:pt x="7" y="7"/>
                </a:lnTo>
                <a:lnTo>
                  <a:pt x="6" y="13"/>
                </a:lnTo>
                <a:lnTo>
                  <a:pt x="5" y="8"/>
                </a:lnTo>
                <a:lnTo>
                  <a:pt x="0" y="2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Polygon 30"/>
          <xdr:cNvSpPr>
            <a:spLocks noChangeAspect="1"/>
          </xdr:cNvSpPr>
        </xdr:nvSpPr>
        <xdr:spPr>
          <a:xfrm>
            <a:off x="205" y="193"/>
            <a:ext cx="7" cy="13"/>
          </a:xfrm>
          <a:custGeom>
            <a:pathLst>
              <a:path h="13" w="7">
                <a:moveTo>
                  <a:pt x="4" y="0"/>
                </a:moveTo>
                <a:lnTo>
                  <a:pt x="2" y="3"/>
                </a:lnTo>
                <a:lnTo>
                  <a:pt x="7" y="7"/>
                </a:lnTo>
                <a:lnTo>
                  <a:pt x="6" y="13"/>
                </a:lnTo>
                <a:lnTo>
                  <a:pt x="5" y="8"/>
                </a:lnTo>
                <a:lnTo>
                  <a:pt x="0" y="2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Polygon 31"/>
          <xdr:cNvSpPr>
            <a:spLocks noChangeAspect="1"/>
          </xdr:cNvSpPr>
        </xdr:nvSpPr>
        <xdr:spPr>
          <a:xfrm>
            <a:off x="205" y="214"/>
            <a:ext cx="12" cy="11"/>
          </a:xfrm>
          <a:custGeom>
            <a:pathLst>
              <a:path h="11" w="12">
                <a:moveTo>
                  <a:pt x="11" y="0"/>
                </a:moveTo>
                <a:lnTo>
                  <a:pt x="12" y="5"/>
                </a:lnTo>
                <a:lnTo>
                  <a:pt x="6" y="7"/>
                </a:lnTo>
                <a:lnTo>
                  <a:pt x="0" y="11"/>
                </a:lnTo>
                <a:lnTo>
                  <a:pt x="5" y="6"/>
                </a:lnTo>
                <a:lnTo>
                  <a:pt x="10" y="5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561975</xdr:colOff>
      <xdr:row>4</xdr:row>
      <xdr:rowOff>76200</xdr:rowOff>
    </xdr:from>
    <xdr:to>
      <xdr:col>4</xdr:col>
      <xdr:colOff>85725</xdr:colOff>
      <xdr:row>11</xdr:row>
      <xdr:rowOff>85725</xdr:rowOff>
    </xdr:to>
    <xdr:sp>
      <xdr:nvSpPr>
        <xdr:cNvPr id="32" name="Rectangle 32"/>
        <xdr:cNvSpPr>
          <a:spLocks/>
        </xdr:cNvSpPr>
      </xdr:nvSpPr>
      <xdr:spPr>
        <a:xfrm>
          <a:off x="561975" y="723900"/>
          <a:ext cx="19621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55"/>
  <sheetViews>
    <sheetView tabSelected="1" workbookViewId="0" topLeftCell="A16">
      <selection activeCell="C7" sqref="C7"/>
    </sheetView>
  </sheetViews>
  <sheetFormatPr defaultColWidth="9.140625" defaultRowHeight="12.75"/>
  <cols>
    <col min="1" max="2" width="9.7109375" style="0" customWidth="1"/>
    <col min="3" max="3" width="6.7109375" style="0" customWidth="1"/>
    <col min="4" max="4" width="9.421875" style="0" customWidth="1"/>
    <col min="5" max="5" width="7.7109375" style="0" customWidth="1"/>
    <col min="6" max="11" width="6.7109375" style="0" customWidth="1"/>
    <col min="13" max="13" width="7.7109375" style="0" customWidth="1"/>
    <col min="14" max="14" width="7.8515625" style="0" customWidth="1"/>
  </cols>
  <sheetData>
    <row r="1" spans="1:12" ht="12.75">
      <c r="A1" s="40" t="s">
        <v>54</v>
      </c>
      <c r="F1" s="3"/>
      <c r="G1" s="36" t="s">
        <v>55</v>
      </c>
      <c r="H1" s="37"/>
      <c r="I1" s="37"/>
      <c r="J1" s="37"/>
      <c r="K1" s="37"/>
      <c r="L1" s="35"/>
    </row>
    <row r="2" spans="1:11" ht="12.75">
      <c r="A2" s="7" t="s">
        <v>27</v>
      </c>
      <c r="F2" s="3"/>
      <c r="G2" s="3"/>
      <c r="H2" s="3"/>
      <c r="I2" s="3"/>
      <c r="J2" s="3"/>
      <c r="K2" s="3"/>
    </row>
    <row r="3" spans="1:10" ht="12.75">
      <c r="A3" t="s">
        <v>25</v>
      </c>
      <c r="C3" s="41">
        <v>120</v>
      </c>
      <c r="D3" t="s">
        <v>2</v>
      </c>
      <c r="E3">
        <f>+C3/1000</f>
        <v>0.12</v>
      </c>
      <c r="F3" t="s">
        <v>7</v>
      </c>
      <c r="G3" s="3" t="s">
        <v>8</v>
      </c>
      <c r="I3" s="41">
        <v>0.01</v>
      </c>
      <c r="J3" t="s">
        <v>4</v>
      </c>
    </row>
    <row r="4" spans="1:10" ht="12.75">
      <c r="A4" t="s">
        <v>36</v>
      </c>
      <c r="C4" s="41">
        <v>500</v>
      </c>
      <c r="D4" t="s">
        <v>26</v>
      </c>
      <c r="E4">
        <f>+C4/1000000</f>
        <v>0.0005</v>
      </c>
      <c r="F4" t="s">
        <v>6</v>
      </c>
      <c r="G4" t="s">
        <v>17</v>
      </c>
      <c r="I4" s="41">
        <v>0.3</v>
      </c>
      <c r="J4" s="1" t="s">
        <v>9</v>
      </c>
    </row>
    <row r="5" spans="1:10" ht="12.75">
      <c r="A5" t="s">
        <v>0</v>
      </c>
      <c r="C5" s="41">
        <v>0.9</v>
      </c>
      <c r="D5" t="s">
        <v>18</v>
      </c>
      <c r="E5">
        <f>3.1416/4*(C5/100)^2</f>
        <v>6.361740000000001E-05</v>
      </c>
      <c r="F5" t="s">
        <v>4</v>
      </c>
      <c r="G5" t="s">
        <v>12</v>
      </c>
      <c r="I5" s="41">
        <v>1.2</v>
      </c>
      <c r="J5" t="s">
        <v>11</v>
      </c>
    </row>
    <row r="6" spans="1:10" ht="12.75">
      <c r="A6" t="s">
        <v>1</v>
      </c>
      <c r="C6" s="41">
        <v>0.3</v>
      </c>
      <c r="D6" s="1" t="s">
        <v>9</v>
      </c>
      <c r="G6" t="s">
        <v>10</v>
      </c>
      <c r="I6" s="41">
        <v>1000</v>
      </c>
      <c r="J6" t="s">
        <v>11</v>
      </c>
    </row>
    <row r="7" spans="1:10" ht="12.75">
      <c r="A7" t="s">
        <v>32</v>
      </c>
      <c r="C7" s="41">
        <v>9</v>
      </c>
      <c r="D7" t="s">
        <v>35</v>
      </c>
      <c r="E7" s="38">
        <f>+(C7+1)*C8*100</f>
        <v>1013000</v>
      </c>
      <c r="F7" t="s">
        <v>3</v>
      </c>
      <c r="G7" t="s">
        <v>19</v>
      </c>
      <c r="I7" s="41">
        <v>9.8</v>
      </c>
      <c r="J7" t="s">
        <v>13</v>
      </c>
    </row>
    <row r="8" spans="1:9" ht="12.75">
      <c r="A8" t="s">
        <v>33</v>
      </c>
      <c r="C8" s="42">
        <v>1013</v>
      </c>
      <c r="D8" t="s">
        <v>34</v>
      </c>
      <c r="I8" s="6"/>
    </row>
    <row r="9" spans="1:10" ht="12.75">
      <c r="A9" t="s">
        <v>41</v>
      </c>
      <c r="C9" s="42">
        <v>25</v>
      </c>
      <c r="D9" t="s">
        <v>42</v>
      </c>
      <c r="F9" s="13" t="s">
        <v>20</v>
      </c>
      <c r="G9" s="13"/>
      <c r="H9" s="13"/>
      <c r="I9" s="6">
        <f>MAX(J35:J122)</f>
        <v>34.52405833924382</v>
      </c>
      <c r="J9" s="13" t="s">
        <v>16</v>
      </c>
    </row>
    <row r="10" spans="3:10" ht="12.75">
      <c r="C10" s="2"/>
      <c r="J10" s="6"/>
    </row>
    <row r="11" spans="3:10" ht="12.75">
      <c r="C11" s="2"/>
      <c r="J11" s="6"/>
    </row>
    <row r="12" spans="3:10" ht="12.75">
      <c r="C12" s="2"/>
      <c r="J12" s="6"/>
    </row>
    <row r="13" spans="3:21" ht="12.75">
      <c r="C13" s="2"/>
      <c r="J13" s="6"/>
      <c r="U13" t="s">
        <v>5</v>
      </c>
    </row>
    <row r="14" spans="3:10" ht="12.75">
      <c r="C14" s="2"/>
      <c r="J14" s="6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spans="7:15" ht="12.75">
      <c r="G31" t="s">
        <v>21</v>
      </c>
      <c r="O31" s="8" t="s">
        <v>49</v>
      </c>
    </row>
    <row r="32" spans="1:15" ht="12.75">
      <c r="A32" s="8" t="s">
        <v>40</v>
      </c>
      <c r="B32" s="8" t="s">
        <v>30</v>
      </c>
      <c r="C32" s="8" t="s">
        <v>31</v>
      </c>
      <c r="D32" s="8" t="s">
        <v>39</v>
      </c>
      <c r="E32" s="1" t="s">
        <v>23</v>
      </c>
      <c r="F32" s="14" t="s">
        <v>47</v>
      </c>
      <c r="G32" s="8" t="s">
        <v>22</v>
      </c>
      <c r="H32" t="s">
        <v>14</v>
      </c>
      <c r="I32" s="8" t="s">
        <v>57</v>
      </c>
      <c r="J32" t="s">
        <v>15</v>
      </c>
      <c r="K32" s="1" t="s">
        <v>24</v>
      </c>
      <c r="L32" s="8" t="s">
        <v>28</v>
      </c>
      <c r="M32" t="s">
        <v>62</v>
      </c>
      <c r="N32" s="8" t="s">
        <v>48</v>
      </c>
      <c r="O32" s="8" t="s">
        <v>50</v>
      </c>
    </row>
    <row r="33" spans="1:15" ht="12.75">
      <c r="A33" s="1"/>
      <c r="B33" s="8" t="s">
        <v>38</v>
      </c>
      <c r="C33" s="8" t="s">
        <v>29</v>
      </c>
      <c r="D33" s="8" t="s">
        <v>29</v>
      </c>
      <c r="E33" s="8" t="s">
        <v>43</v>
      </c>
      <c r="F33" s="10" t="s">
        <v>44</v>
      </c>
      <c r="G33" s="8" t="s">
        <v>45</v>
      </c>
      <c r="H33" s="8" t="s">
        <v>37</v>
      </c>
      <c r="I33" s="8" t="s">
        <v>56</v>
      </c>
      <c r="J33" s="8" t="s">
        <v>46</v>
      </c>
      <c r="K33" s="8" t="s">
        <v>44</v>
      </c>
      <c r="L33" s="8" t="s">
        <v>29</v>
      </c>
      <c r="M33" s="8" t="s">
        <v>28</v>
      </c>
      <c r="N33" s="8" t="s">
        <v>43</v>
      </c>
      <c r="O33" s="8" t="s">
        <v>51</v>
      </c>
    </row>
    <row r="34" spans="1:15" ht="12.75">
      <c r="A34" s="8">
        <v>0</v>
      </c>
      <c r="B34" s="8">
        <v>0</v>
      </c>
      <c r="C34" s="8">
        <f>+(1-$C$6)</f>
        <v>0.7</v>
      </c>
      <c r="D34" s="12">
        <f>+$E$7*(C34/$C$34)^-1.4/(100*$C$8)</f>
        <v>10</v>
      </c>
      <c r="E34" s="11">
        <f aca="true" t="shared" si="0" ref="E34:E57">+$E$3+$E$7*(1-$C$6)*$E$4/(288*($C$9+273))+$I$6*$E$4*(1-C34)</f>
        <v>0.2741311288217748</v>
      </c>
      <c r="F34" s="9">
        <f>2*$E$5*(D34-1)*$C$8*100</f>
        <v>115.99996716000003</v>
      </c>
      <c r="G34" s="9">
        <f>+(F34+K34)/E34-$I$7</f>
        <v>413.3550340837684</v>
      </c>
      <c r="H34" s="12">
        <v>0</v>
      </c>
      <c r="I34" s="43">
        <v>0</v>
      </c>
      <c r="J34" s="44">
        <v>1E-50</v>
      </c>
      <c r="K34" s="8">
        <v>0</v>
      </c>
      <c r="L34" s="9">
        <f>+G34/$I$7</f>
        <v>42.17908511058861</v>
      </c>
      <c r="M34" s="9">
        <f>L34</f>
        <v>42.17908511058861</v>
      </c>
      <c r="N34" s="20">
        <f>+$E$7*(1-$C$6)*$E$4/(288*($C$9+273))</f>
        <v>0.004131128821774795</v>
      </c>
      <c r="O34" s="21">
        <f>+$C$9+273</f>
        <v>298</v>
      </c>
    </row>
    <row r="35" spans="1:15" ht="12.75">
      <c r="A35" s="8">
        <f>+A34+1</f>
        <v>1</v>
      </c>
      <c r="B35" s="11">
        <f>+B34+0.01</f>
        <v>0.01</v>
      </c>
      <c r="C35" s="11">
        <f aca="true" t="shared" si="1" ref="C35:C57">+C34+(B35-B34)*$E$5*((2*(D34-1)*100*$C$8)/$I$6)^0.5/$E$4</f>
        <v>0.7543308984310202</v>
      </c>
      <c r="D35" s="12">
        <f aca="true" t="shared" si="2" ref="D35:D57">+$E$7*(C35/$C$34)^-1.4/(100*$C$8)</f>
        <v>9.006386901316183</v>
      </c>
      <c r="E35" s="11">
        <f t="shared" si="0"/>
        <v>0.2469656796062647</v>
      </c>
      <c r="F35" s="9">
        <f aca="true" t="shared" si="3" ref="F35:F57">2*$E$5*(D35-1)*$C$8*100</f>
        <v>103.19340195810352</v>
      </c>
      <c r="G35" s="9">
        <f>+F35/E35-$I$7</f>
        <v>408.0451116066973</v>
      </c>
      <c r="H35" s="12">
        <f>+H34+0.5*(G34+G35)*(B35-B34)</f>
        <v>4.107000728452329</v>
      </c>
      <c r="I35" s="45">
        <f>IF(J35&lt;=0,0,H35)</f>
        <v>4.107000728452329</v>
      </c>
      <c r="J35" s="44">
        <f>MAX(+J34+0.5*(H34+H35)*(B35-B34),0)</f>
        <v>0.020535003642261646</v>
      </c>
      <c r="K35" s="9">
        <f aca="true" t="shared" si="4" ref="K35:K66">-0.5*$I$5*$I$4*$I$3*ABS(H35)*H35</f>
        <v>-0.030361418970314327</v>
      </c>
      <c r="L35" s="9">
        <f>+G35/$I$7</f>
        <v>41.63725628639768</v>
      </c>
      <c r="M35" s="9">
        <f>IF(ISBLANK(J35),"",IF(J35&gt;0,L35,(I35-I34)/(B35-B34)/$I$7))</f>
        <v>41.63725628639768</v>
      </c>
      <c r="N35" s="20">
        <f aca="true" t="shared" si="5" ref="N35:N57">+$E$7*(1-$C$6)*$E$4/(288*($C$9+273))</f>
        <v>0.004131128821774795</v>
      </c>
      <c r="O35" s="21">
        <f aca="true" t="shared" si="6" ref="O35:O57">+$O$34*($C$34/C35)^0.4</f>
        <v>289.2215978600555</v>
      </c>
    </row>
    <row r="36" spans="1:15" ht="12.75">
      <c r="A36" s="8">
        <f aca="true" t="shared" si="7" ref="A36:A63">+A35+1</f>
        <v>2</v>
      </c>
      <c r="B36" s="11">
        <f>+B35+(A36/40)*(1-C35)*(B35-B34)/(C35-C34)</f>
        <v>0.012260859921917977</v>
      </c>
      <c r="C36" s="11">
        <f t="shared" si="1"/>
        <v>0.7659164729185812</v>
      </c>
      <c r="D36" s="12">
        <f t="shared" si="2"/>
        <v>8.816237513234398</v>
      </c>
      <c r="E36" s="11">
        <f t="shared" si="0"/>
        <v>0.24117289236248418</v>
      </c>
      <c r="F36" s="9">
        <f t="shared" si="3"/>
        <v>100.74258831666117</v>
      </c>
      <c r="G36" s="9">
        <f aca="true" t="shared" si="8" ref="G36:G54">+(F36+2*K35-K34)/E36-$I$7</f>
        <v>407.6675872253302</v>
      </c>
      <c r="H36" s="12">
        <f aca="true" t="shared" si="9" ref="H36:H58">+H35+0.5*(G35+G36)*(B36-B35)</f>
        <v>5.029106802746768</v>
      </c>
      <c r="I36" s="45">
        <f aca="true" t="shared" si="10" ref="I36:I99">IF(J36&lt;=0,0,H36)</f>
        <v>5.029106802746768</v>
      </c>
      <c r="J36" s="44">
        <f aca="true" t="shared" si="11" ref="J36:J99">MAX(+J35+0.5*(H35+H36)*(B36-B35),0)</f>
        <v>0.03086273332207216</v>
      </c>
      <c r="K36" s="9">
        <f t="shared" si="4"/>
        <v>-0.04552544742018088</v>
      </c>
      <c r="L36" s="9">
        <f aca="true" t="shared" si="12" ref="L36:L99">+G36/$I$7</f>
        <v>41.59873339033981</v>
      </c>
      <c r="M36" s="9">
        <f aca="true" t="shared" si="13" ref="M36:M99">IF(ISBLANK(J36),"",IF(J36&gt;0,L36,(I36-I35)/(B36-B35)/$I$7))</f>
        <v>41.59873339033981</v>
      </c>
      <c r="N36" s="20">
        <f t="shared" si="5"/>
        <v>0.004131128821774795</v>
      </c>
      <c r="O36" s="21">
        <f t="shared" si="6"/>
        <v>287.46363701194207</v>
      </c>
    </row>
    <row r="37" spans="1:15" ht="12.75">
      <c r="A37" s="8">
        <f t="shared" si="7"/>
        <v>3</v>
      </c>
      <c r="B37" s="11">
        <f aca="true" t="shared" si="14" ref="B37:B57">+B36+(A37/40)*(1-C36)*(B36-B35)/(C36-C35)</f>
        <v>0.015686866538990315</v>
      </c>
      <c r="C37" s="11">
        <f t="shared" si="1"/>
        <v>0.7832630065862736</v>
      </c>
      <c r="D37" s="12">
        <f t="shared" si="2"/>
        <v>8.544105347979718</v>
      </c>
      <c r="E37" s="11">
        <f t="shared" si="0"/>
        <v>0.232499625528638</v>
      </c>
      <c r="F37" s="9">
        <f t="shared" si="3"/>
        <v>97.23510806858087</v>
      </c>
      <c r="G37" s="9">
        <f t="shared" si="8"/>
        <v>408.15516174171825</v>
      </c>
      <c r="H37" s="12">
        <f t="shared" si="9"/>
        <v>6.426613870906395</v>
      </c>
      <c r="I37" s="45">
        <f t="shared" si="10"/>
        <v>6.426613870906395</v>
      </c>
      <c r="J37" s="44">
        <f t="shared" si="11"/>
        <v>0.05048642073770622</v>
      </c>
      <c r="K37" s="9">
        <f t="shared" si="4"/>
        <v>-0.07434245852230766</v>
      </c>
      <c r="L37" s="9">
        <f t="shared" si="12"/>
        <v>41.64848589201206</v>
      </c>
      <c r="M37" s="9">
        <f t="shared" si="13"/>
        <v>41.64848589201206</v>
      </c>
      <c r="N37" s="20">
        <f t="shared" si="5"/>
        <v>0.004131128821774795</v>
      </c>
      <c r="O37" s="21">
        <f t="shared" si="6"/>
        <v>284.8999899639485</v>
      </c>
    </row>
    <row r="38" spans="1:15" ht="12.75">
      <c r="A38" s="8">
        <f t="shared" si="7"/>
        <v>4</v>
      </c>
      <c r="B38" s="11">
        <f t="shared" si="14"/>
        <v>0.019967504894898645</v>
      </c>
      <c r="C38" s="11">
        <f t="shared" si="1"/>
        <v>0.8045560648656552</v>
      </c>
      <c r="D38" s="12">
        <f t="shared" si="2"/>
        <v>8.229215167396644</v>
      </c>
      <c r="E38" s="11">
        <f t="shared" si="0"/>
        <v>0.22185309638894718</v>
      </c>
      <c r="F38" s="9">
        <f t="shared" si="3"/>
        <v>93.17652466784276</v>
      </c>
      <c r="G38" s="9">
        <f t="shared" si="8"/>
        <v>409.7270055417413</v>
      </c>
      <c r="H38" s="12">
        <f t="shared" si="9"/>
        <v>8.1771427588499</v>
      </c>
      <c r="I38" s="45">
        <f t="shared" si="10"/>
        <v>8.1771427588499</v>
      </c>
      <c r="J38" s="44">
        <f t="shared" si="11"/>
        <v>0.0817431211225489</v>
      </c>
      <c r="K38" s="9">
        <f t="shared" si="4"/>
        <v>-0.12035819465750043</v>
      </c>
      <c r="L38" s="9">
        <f t="shared" si="12"/>
        <v>41.80887811650421</v>
      </c>
      <c r="M38" s="9">
        <f t="shared" si="13"/>
        <v>41.80887811650421</v>
      </c>
      <c r="N38" s="20">
        <f t="shared" si="5"/>
        <v>0.004131128821774795</v>
      </c>
      <c r="O38" s="21">
        <f t="shared" si="6"/>
        <v>281.85968023714224</v>
      </c>
    </row>
    <row r="39" spans="1:15" ht="12.75">
      <c r="A39" s="8">
        <f t="shared" si="7"/>
        <v>5</v>
      </c>
      <c r="B39" s="11">
        <f t="shared" si="14"/>
        <v>0.02487887550561929</v>
      </c>
      <c r="C39" s="11">
        <f t="shared" si="1"/>
        <v>0.8284712592200897</v>
      </c>
      <c r="D39" s="12">
        <f t="shared" si="2"/>
        <v>7.8985765325003845</v>
      </c>
      <c r="E39" s="11">
        <f t="shared" si="0"/>
        <v>0.20989549921172995</v>
      </c>
      <c r="F39" s="9">
        <f t="shared" si="3"/>
        <v>88.91496124675461</v>
      </c>
      <c r="G39" s="9">
        <f t="shared" si="8"/>
        <v>413.0227267819482</v>
      </c>
      <c r="H39" s="12">
        <f t="shared" si="9"/>
        <v>10.197557186506323</v>
      </c>
      <c r="I39" s="45">
        <f t="shared" si="10"/>
        <v>10.197557186506323</v>
      </c>
      <c r="J39" s="44">
        <f t="shared" si="11"/>
        <v>0.12686560176876532</v>
      </c>
      <c r="K39" s="9">
        <f t="shared" si="4"/>
        <v>-0.18718231062972016</v>
      </c>
      <c r="L39" s="9">
        <f t="shared" si="12"/>
        <v>42.14517620223961</v>
      </c>
      <c r="M39" s="9">
        <f t="shared" si="13"/>
        <v>42.14517620223961</v>
      </c>
      <c r="N39" s="20">
        <f t="shared" si="5"/>
        <v>0.004131128821774795</v>
      </c>
      <c r="O39" s="21">
        <f t="shared" si="6"/>
        <v>278.5765152123142</v>
      </c>
    </row>
    <row r="40" spans="1:15" ht="12.75">
      <c r="A40" s="8">
        <f t="shared" si="7"/>
        <v>6</v>
      </c>
      <c r="B40" s="11">
        <f t="shared" si="14"/>
        <v>0.03016280423232121</v>
      </c>
      <c r="C40" s="11">
        <f t="shared" si="1"/>
        <v>0.8536053006290117</v>
      </c>
      <c r="D40" s="12">
        <f t="shared" si="2"/>
        <v>7.574907108920994</v>
      </c>
      <c r="E40" s="11">
        <f t="shared" si="0"/>
        <v>0.19732847850726892</v>
      </c>
      <c r="F40" s="9">
        <f t="shared" si="3"/>
        <v>84.74322319054288</v>
      </c>
      <c r="G40" s="9">
        <f t="shared" si="8"/>
        <v>418.3653484741617</v>
      </c>
      <c r="H40" s="12">
        <f t="shared" si="9"/>
        <v>12.39405485344791</v>
      </c>
      <c r="I40" s="45">
        <f t="shared" si="10"/>
        <v>12.39405485344791</v>
      </c>
      <c r="J40" s="44">
        <f t="shared" si="11"/>
        <v>0.18655183568897488</v>
      </c>
      <c r="K40" s="9">
        <f t="shared" si="4"/>
        <v>-0.27650267227849623</v>
      </c>
      <c r="L40" s="9">
        <f t="shared" si="12"/>
        <v>42.690341681036905</v>
      </c>
      <c r="M40" s="9">
        <f t="shared" si="13"/>
        <v>42.690341681036905</v>
      </c>
      <c r="N40" s="20">
        <f t="shared" si="5"/>
        <v>0.004131128821774795</v>
      </c>
      <c r="O40" s="21">
        <f t="shared" si="6"/>
        <v>275.2660423234726</v>
      </c>
    </row>
    <row r="41" spans="1:15" ht="12.75">
      <c r="A41" s="8">
        <f t="shared" si="7"/>
        <v>7</v>
      </c>
      <c r="B41" s="11">
        <f t="shared" si="14"/>
        <v>0.0355487010067459</v>
      </c>
      <c r="C41" s="11">
        <f t="shared" si="1"/>
        <v>0.8786161515867659</v>
      </c>
      <c r="D41" s="12">
        <f t="shared" si="2"/>
        <v>7.274755479898156</v>
      </c>
      <c r="E41" s="11">
        <f t="shared" si="0"/>
        <v>0.18482305302839186</v>
      </c>
      <c r="F41" s="9">
        <f t="shared" si="3"/>
        <v>80.87460328946847</v>
      </c>
      <c r="G41" s="9">
        <f t="shared" si="8"/>
        <v>425.7992336257627</v>
      </c>
      <c r="H41" s="12">
        <f t="shared" si="9"/>
        <v>14.667346503355684</v>
      </c>
      <c r="I41" s="45">
        <f t="shared" si="10"/>
        <v>14.667346503355684</v>
      </c>
      <c r="J41" s="44">
        <f t="shared" si="11"/>
        <v>0.2594267928284851</v>
      </c>
      <c r="K41" s="9">
        <f t="shared" si="4"/>
        <v>-0.38723589620910037</v>
      </c>
      <c r="L41" s="9">
        <f t="shared" si="12"/>
        <v>43.448901390383945</v>
      </c>
      <c r="M41" s="9">
        <f t="shared" si="13"/>
        <v>43.448901390383945</v>
      </c>
      <c r="N41" s="20">
        <f t="shared" si="5"/>
        <v>0.004131128821774795</v>
      </c>
      <c r="O41" s="21">
        <f t="shared" si="6"/>
        <v>272.1045519596986</v>
      </c>
    </row>
    <row r="42" spans="1:15" ht="12.75">
      <c r="A42" s="8">
        <f t="shared" si="7"/>
        <v>8</v>
      </c>
      <c r="B42" s="11">
        <f t="shared" si="14"/>
        <v>0.04077651895456672</v>
      </c>
      <c r="C42" s="11">
        <f t="shared" si="1"/>
        <v>0.902332318086884</v>
      </c>
      <c r="D42" s="12">
        <f t="shared" si="2"/>
        <v>7.008484846227083</v>
      </c>
      <c r="E42" s="11">
        <f t="shared" si="0"/>
        <v>0.1729649697783328</v>
      </c>
      <c r="F42" s="9">
        <f t="shared" si="3"/>
        <v>77.44267164929994</v>
      </c>
      <c r="G42" s="9">
        <f t="shared" si="8"/>
        <v>435.05714435570667</v>
      </c>
      <c r="H42" s="12">
        <f t="shared" si="9"/>
        <v>16.91754671500946</v>
      </c>
      <c r="I42" s="45">
        <f t="shared" si="10"/>
        <v>16.91754671500946</v>
      </c>
      <c r="J42" s="44">
        <f t="shared" si="11"/>
        <v>0.34198682865197183</v>
      </c>
      <c r="K42" s="9">
        <f t="shared" si="4"/>
        <v>-0.5151660963381494</v>
      </c>
      <c r="L42" s="9">
        <f t="shared" si="12"/>
        <v>44.39358615874558</v>
      </c>
      <c r="M42" s="9">
        <f t="shared" si="13"/>
        <v>44.39358615874558</v>
      </c>
      <c r="N42" s="20">
        <f t="shared" si="5"/>
        <v>0.004131128821774795</v>
      </c>
      <c r="O42" s="21">
        <f t="shared" si="6"/>
        <v>269.220964073817</v>
      </c>
    </row>
    <row r="43" spans="1:15" ht="12.75">
      <c r="A43" s="8">
        <f t="shared" si="7"/>
        <v>9</v>
      </c>
      <c r="B43" s="11">
        <f t="shared" si="14"/>
        <v>0.0456205772721537</v>
      </c>
      <c r="C43" s="11">
        <f t="shared" si="1"/>
        <v>0.9238362303806448</v>
      </c>
      <c r="D43" s="12">
        <f t="shared" si="2"/>
        <v>6.781164345182032</v>
      </c>
      <c r="E43" s="11">
        <f t="shared" si="0"/>
        <v>0.1622130136314524</v>
      </c>
      <c r="F43" s="9">
        <f t="shared" si="3"/>
        <v>74.51276379863097</v>
      </c>
      <c r="G43" s="9">
        <f t="shared" si="8"/>
        <v>445.58681421698685</v>
      </c>
      <c r="H43" s="12">
        <f t="shared" si="9"/>
        <v>19.05049206118785</v>
      </c>
      <c r="I43" s="45">
        <f t="shared" si="10"/>
        <v>19.05049206118785</v>
      </c>
      <c r="J43" s="44">
        <f t="shared" si="11"/>
        <v>0.42910246735253654</v>
      </c>
      <c r="K43" s="9">
        <f t="shared" si="4"/>
        <v>-0.6532582459920863</v>
      </c>
      <c r="L43" s="9">
        <f t="shared" si="12"/>
        <v>45.46804226703947</v>
      </c>
      <c r="M43" s="9">
        <f t="shared" si="13"/>
        <v>45.46804226703947</v>
      </c>
      <c r="N43" s="20">
        <f t="shared" si="5"/>
        <v>0.004131128821774795</v>
      </c>
      <c r="O43" s="21">
        <f t="shared" si="6"/>
        <v>266.6966030372702</v>
      </c>
    </row>
    <row r="44" spans="1:15" ht="12.75">
      <c r="A44" s="8">
        <f t="shared" si="7"/>
        <v>10</v>
      </c>
      <c r="B44" s="11">
        <f t="shared" si="14"/>
        <v>0.0499098170240111</v>
      </c>
      <c r="C44" s="11">
        <f t="shared" si="1"/>
        <v>0.9425135096282449</v>
      </c>
      <c r="D44" s="12">
        <f t="shared" si="2"/>
        <v>6.593782817959809</v>
      </c>
      <c r="E44" s="11">
        <f t="shared" si="0"/>
        <v>0.15287437400765236</v>
      </c>
      <c r="F44" s="9">
        <f t="shared" si="3"/>
        <v>72.0976247981678</v>
      </c>
      <c r="G44" s="9">
        <f t="shared" si="8"/>
        <v>456.6370655015891</v>
      </c>
      <c r="H44" s="12">
        <f t="shared" si="9"/>
        <v>20.985419326169815</v>
      </c>
      <c r="I44" s="45">
        <f t="shared" si="10"/>
        <v>20.985419326169815</v>
      </c>
      <c r="J44" s="44">
        <f t="shared" si="11"/>
        <v>0.514964278664784</v>
      </c>
      <c r="K44" s="9">
        <f t="shared" si="4"/>
        <v>-0.7926980837313268</v>
      </c>
      <c r="L44" s="9">
        <f t="shared" si="12"/>
        <v>46.59561892873358</v>
      </c>
      <c r="M44" s="9">
        <f t="shared" si="13"/>
        <v>46.59561892873358</v>
      </c>
      <c r="N44" s="20">
        <f t="shared" si="5"/>
        <v>0.004131128821774795</v>
      </c>
      <c r="O44" s="21">
        <f t="shared" si="6"/>
        <v>264.56990812479313</v>
      </c>
    </row>
    <row r="45" spans="1:15" ht="12.75">
      <c r="A45" s="8">
        <f t="shared" si="7"/>
        <v>11</v>
      </c>
      <c r="B45" s="11">
        <f t="shared" si="14"/>
        <v>0.05354030664286018</v>
      </c>
      <c r="C45" s="11">
        <f t="shared" si="1"/>
        <v>0.9580639836315277</v>
      </c>
      <c r="D45" s="12">
        <f t="shared" si="2"/>
        <v>6.444436315070278</v>
      </c>
      <c r="E45" s="11">
        <f t="shared" si="0"/>
        <v>0.14509913700601096</v>
      </c>
      <c r="F45" s="9">
        <f t="shared" si="3"/>
        <v>70.1727148614293</v>
      </c>
      <c r="G45" s="9">
        <f t="shared" si="8"/>
        <v>467.39496041585926</v>
      </c>
      <c r="H45" s="12">
        <f t="shared" si="9"/>
        <v>22.662763664958504</v>
      </c>
      <c r="I45" s="45">
        <f t="shared" si="10"/>
        <v>22.662763664958504</v>
      </c>
      <c r="J45" s="44">
        <f t="shared" si="11"/>
        <v>0.5941964162802421</v>
      </c>
      <c r="K45" s="9">
        <f t="shared" si="4"/>
        <v>-0.9244815424807741</v>
      </c>
      <c r="L45" s="9">
        <f t="shared" si="12"/>
        <v>47.69336330774074</v>
      </c>
      <c r="M45" s="9">
        <f t="shared" si="13"/>
        <v>47.69336330774074</v>
      </c>
      <c r="N45" s="20">
        <f t="shared" si="5"/>
        <v>0.004131128821774795</v>
      </c>
      <c r="O45" s="21">
        <f t="shared" si="6"/>
        <v>262.84376197517463</v>
      </c>
    </row>
    <row r="46" spans="1:15" ht="12.75">
      <c r="A46" s="8">
        <f t="shared" si="7"/>
        <v>12</v>
      </c>
      <c r="B46" s="11">
        <f t="shared" si="14"/>
        <v>0.05647748280963458</v>
      </c>
      <c r="C46" s="11">
        <f t="shared" si="1"/>
        <v>0.9704757070312019</v>
      </c>
      <c r="D46" s="12">
        <f t="shared" si="2"/>
        <v>6.329344287980124</v>
      </c>
      <c r="E46" s="11">
        <f t="shared" si="0"/>
        <v>0.13889327530617385</v>
      </c>
      <c r="F46" s="9">
        <f t="shared" si="3"/>
        <v>68.68930693222534</v>
      </c>
      <c r="G46" s="9">
        <f t="shared" si="8"/>
        <v>477.1425231848413</v>
      </c>
      <c r="H46" s="12">
        <f t="shared" si="9"/>
        <v>24.049900157687027</v>
      </c>
      <c r="I46" s="45">
        <f t="shared" si="10"/>
        <v>24.049900157687027</v>
      </c>
      <c r="J46" s="44">
        <f t="shared" si="11"/>
        <v>0.6627980777134517</v>
      </c>
      <c r="K46" s="9">
        <f t="shared" si="4"/>
        <v>-1.041115855670486</v>
      </c>
      <c r="L46" s="9">
        <f t="shared" si="12"/>
        <v>48.688012569881764</v>
      </c>
      <c r="M46" s="9">
        <f t="shared" si="13"/>
        <v>48.688012569881764</v>
      </c>
      <c r="N46" s="20">
        <f t="shared" si="5"/>
        <v>0.004131128821774795</v>
      </c>
      <c r="O46" s="21">
        <f t="shared" si="6"/>
        <v>261.4939303043686</v>
      </c>
    </row>
    <row r="47" spans="1:15" ht="12.75">
      <c r="A47" s="8">
        <f t="shared" si="7"/>
        <v>13</v>
      </c>
      <c r="B47" s="11">
        <f t="shared" si="14"/>
        <v>0.05874818811205904</v>
      </c>
      <c r="C47" s="11">
        <f t="shared" si="1"/>
        <v>0.9799691401442661</v>
      </c>
      <c r="D47" s="12">
        <f t="shared" si="2"/>
        <v>6.243669359442217</v>
      </c>
      <c r="E47" s="11">
        <f t="shared" si="0"/>
        <v>0.13414655874964176</v>
      </c>
      <c r="F47" s="9">
        <f t="shared" si="3"/>
        <v>67.58505261035506</v>
      </c>
      <c r="G47" s="9">
        <f t="shared" si="8"/>
        <v>485.3845433878658</v>
      </c>
      <c r="H47" s="12">
        <f t="shared" si="9"/>
        <v>25.142707814583883</v>
      </c>
      <c r="I47" s="45">
        <f t="shared" si="10"/>
        <v>25.142707814583883</v>
      </c>
      <c r="J47" s="44">
        <f t="shared" si="11"/>
        <v>0.7186490355948134</v>
      </c>
      <c r="K47" s="9">
        <f t="shared" si="4"/>
        <v>-1.1378803612491672</v>
      </c>
      <c r="L47" s="9">
        <f t="shared" si="12"/>
        <v>49.52903503957814</v>
      </c>
      <c r="M47" s="9">
        <f t="shared" si="13"/>
        <v>49.52903503957814</v>
      </c>
      <c r="N47" s="20">
        <f t="shared" si="5"/>
        <v>0.004131128821774795</v>
      </c>
      <c r="O47" s="21">
        <f t="shared" si="6"/>
        <v>260.47768306689596</v>
      </c>
    </row>
    <row r="48" spans="1:15" ht="12.75">
      <c r="A48" s="8">
        <f t="shared" si="7"/>
        <v>14</v>
      </c>
      <c r="B48" s="11">
        <f t="shared" si="14"/>
        <v>0.060425080201642584</v>
      </c>
      <c r="C48" s="11">
        <f t="shared" si="1"/>
        <v>0.9869233596963485</v>
      </c>
      <c r="D48" s="12">
        <f t="shared" si="2"/>
        <v>6.182163064822931</v>
      </c>
      <c r="E48" s="11">
        <f t="shared" si="0"/>
        <v>0.13066944897360055</v>
      </c>
      <c r="F48" s="9">
        <f t="shared" si="3"/>
        <v>66.79230503746945</v>
      </c>
      <c r="G48" s="9">
        <f t="shared" si="8"/>
        <v>491.90610410920425</v>
      </c>
      <c r="H48" s="12">
        <f t="shared" si="9"/>
        <v>25.96211329258979</v>
      </c>
      <c r="I48" s="45">
        <f t="shared" si="10"/>
        <v>25.96211329258979</v>
      </c>
      <c r="J48" s="44">
        <f t="shared" si="11"/>
        <v>0.7614976707219142</v>
      </c>
      <c r="K48" s="9">
        <f t="shared" si="4"/>
        <v>-1.2132563879110816</v>
      </c>
      <c r="L48" s="9">
        <f t="shared" si="12"/>
        <v>50.19450041930655</v>
      </c>
      <c r="M48" s="9">
        <f t="shared" si="13"/>
        <v>50.19450041930655</v>
      </c>
      <c r="N48" s="20">
        <f t="shared" si="5"/>
        <v>0.004131128821774795</v>
      </c>
      <c r="O48" s="21">
        <f t="shared" si="6"/>
        <v>259.7419571933521</v>
      </c>
    </row>
    <row r="49" spans="1:15" ht="12.75">
      <c r="A49" s="8">
        <f t="shared" si="7"/>
        <v>15</v>
      </c>
      <c r="B49" s="11">
        <f t="shared" si="14"/>
        <v>0.061607533954322655</v>
      </c>
      <c r="C49" s="11">
        <f t="shared" si="1"/>
        <v>0.9917982554519241</v>
      </c>
      <c r="D49" s="12">
        <f t="shared" si="2"/>
        <v>6.139663652529296</v>
      </c>
      <c r="E49" s="11">
        <f t="shared" si="0"/>
        <v>0.12823200109581273</v>
      </c>
      <c r="F49" s="9">
        <f t="shared" si="3"/>
        <v>66.24453498964934</v>
      </c>
      <c r="G49" s="9">
        <f t="shared" si="8"/>
        <v>496.7498629046772</v>
      </c>
      <c r="H49" s="12">
        <f t="shared" si="9"/>
        <v>26.546633271742344</v>
      </c>
      <c r="I49" s="45">
        <f t="shared" si="10"/>
        <v>26.546633271742344</v>
      </c>
      <c r="J49" s="44">
        <f t="shared" si="11"/>
        <v>0.7925422529336749</v>
      </c>
      <c r="K49" s="9">
        <f t="shared" si="4"/>
        <v>-1.2685027285158799</v>
      </c>
      <c r="L49" s="9">
        <f t="shared" si="12"/>
        <v>50.68876152088542</v>
      </c>
      <c r="M49" s="9">
        <f t="shared" si="13"/>
        <v>50.68876152088542</v>
      </c>
      <c r="N49" s="20">
        <f t="shared" si="5"/>
        <v>0.004131128821774795</v>
      </c>
      <c r="O49" s="21">
        <f t="shared" si="6"/>
        <v>259.2305277846804</v>
      </c>
    </row>
    <row r="50" spans="1:15" ht="12.75">
      <c r="A50" s="8">
        <f t="shared" si="7"/>
        <v>16</v>
      </c>
      <c r="B50" s="11">
        <f t="shared" si="14"/>
        <v>0.062403299370090023</v>
      </c>
      <c r="C50" s="11">
        <f t="shared" si="1"/>
        <v>0.9950654729183803</v>
      </c>
      <c r="D50" s="12">
        <f t="shared" si="2"/>
        <v>6.111459469455794</v>
      </c>
      <c r="E50" s="11">
        <f t="shared" si="0"/>
        <v>0.12659839236258463</v>
      </c>
      <c r="F50" s="9">
        <f t="shared" si="3"/>
        <v>65.88101451072703</v>
      </c>
      <c r="G50" s="9">
        <f t="shared" si="8"/>
        <v>500.137482118342</v>
      </c>
      <c r="H50" s="12">
        <f t="shared" si="9"/>
        <v>26.94327750803508</v>
      </c>
      <c r="I50" s="45">
        <f t="shared" si="10"/>
        <v>26.94327750803508</v>
      </c>
      <c r="J50" s="44">
        <f t="shared" si="11"/>
        <v>0.8138249634791894</v>
      </c>
      <c r="K50" s="9">
        <f t="shared" si="4"/>
        <v>-1.3066923651749802</v>
      </c>
      <c r="L50" s="9">
        <f t="shared" si="12"/>
        <v>51.03443695085122</v>
      </c>
      <c r="M50" s="9">
        <f t="shared" si="13"/>
        <v>51.03443695085122</v>
      </c>
      <c r="N50" s="20">
        <f t="shared" si="5"/>
        <v>0.004131128821774795</v>
      </c>
      <c r="O50" s="21">
        <f t="shared" si="6"/>
        <v>258.8897267920389</v>
      </c>
    </row>
    <row r="51" spans="1:15" ht="12.75">
      <c r="A51" s="8">
        <f>+A50+1</f>
        <v>17</v>
      </c>
      <c r="B51" s="11">
        <f>+B50+(A51/40)*(1-C50)*(B50-B49)/(C50-C49)</f>
        <v>0.06291408831049267</v>
      </c>
      <c r="C51" s="11">
        <f t="shared" si="1"/>
        <v>0.997156884834178</v>
      </c>
      <c r="D51" s="12">
        <f t="shared" si="2"/>
        <v>6.0935217690127175</v>
      </c>
      <c r="E51" s="11">
        <f t="shared" si="0"/>
        <v>0.1255526864046858</v>
      </c>
      <c r="F51" s="9">
        <f>2*$E$5*(D51-1)*$C$8*100</f>
        <v>65.64981754824672</v>
      </c>
      <c r="G51" s="9">
        <f t="shared" si="8"/>
        <v>502.37490750570413</v>
      </c>
      <c r="H51" s="12">
        <f>+H50+0.5*(G50+G51)*(B51-B50)</f>
        <v>27.199313628653375</v>
      </c>
      <c r="I51" s="45">
        <f t="shared" si="10"/>
        <v>27.199313628653375</v>
      </c>
      <c r="J51" s="44">
        <f t="shared" si="11"/>
        <v>0.8276526818578708</v>
      </c>
      <c r="K51" s="9">
        <f t="shared" si="4"/>
        <v>-1.3316447913657286</v>
      </c>
      <c r="L51" s="9">
        <f t="shared" si="12"/>
        <v>51.262745663847355</v>
      </c>
      <c r="M51" s="9">
        <f t="shared" si="13"/>
        <v>51.262745663847355</v>
      </c>
      <c r="N51" s="20">
        <f t="shared" si="5"/>
        <v>0.004131128821774795</v>
      </c>
      <c r="O51" s="21">
        <f t="shared" si="6"/>
        <v>258.6723944410965</v>
      </c>
    </row>
    <row r="52" spans="1:15" ht="12.75">
      <c r="A52" s="8">
        <f>+A51+1</f>
        <v>18</v>
      </c>
      <c r="B52" s="11">
        <f>+B51+(A52/40)*(1-C51)*(B51-B50)/(C51-C50)</f>
        <v>0.06322655870305882</v>
      </c>
      <c r="C52" s="11">
        <f t="shared" si="1"/>
        <v>0.9984340397764274</v>
      </c>
      <c r="D52" s="12">
        <f t="shared" si="2"/>
        <v>6.082612153048595</v>
      </c>
      <c r="E52" s="11">
        <f t="shared" si="0"/>
        <v>0.12491410893356109</v>
      </c>
      <c r="F52" s="9">
        <f>2*$E$5*(D52-1)*$C$8*100</f>
        <v>65.50920476007266</v>
      </c>
      <c r="G52" s="9">
        <f t="shared" si="8"/>
        <v>503.77375151783264</v>
      </c>
      <c r="H52" s="12">
        <f>+H51+0.5*(G51+G52)*(B52-B51)</f>
        <v>27.35650946188587</v>
      </c>
      <c r="I52" s="45">
        <f t="shared" si="10"/>
        <v>27.35650946188587</v>
      </c>
      <c r="J52" s="44">
        <f t="shared" si="11"/>
        <v>0.836176221586806</v>
      </c>
      <c r="K52" s="9">
        <f t="shared" si="4"/>
        <v>-1.3470814978888521</v>
      </c>
      <c r="L52" s="9">
        <f t="shared" si="12"/>
        <v>51.40548484875843</v>
      </c>
      <c r="M52" s="9">
        <f t="shared" si="13"/>
        <v>51.40548484875843</v>
      </c>
      <c r="N52" s="20">
        <f t="shared" si="5"/>
        <v>0.004131128821774795</v>
      </c>
      <c r="O52" s="21">
        <f t="shared" si="6"/>
        <v>258.5399904656754</v>
      </c>
    </row>
    <row r="53" spans="1:15" ht="12.75">
      <c r="A53" s="8">
        <f>+A52+1</f>
        <v>19</v>
      </c>
      <c r="B53" s="11">
        <f>+B52+(A53/40)*(1-C52)*(B52-B51)/(C52-C51)</f>
        <v>0.0634085453908658</v>
      </c>
      <c r="C53" s="11">
        <f t="shared" si="1"/>
        <v>0.999177073864177</v>
      </c>
      <c r="D53" s="12">
        <f t="shared" si="2"/>
        <v>6.076280460304668</v>
      </c>
      <c r="E53" s="11">
        <f t="shared" si="0"/>
        <v>0.1245425918896863</v>
      </c>
      <c r="F53" s="9">
        <f>2*$E$5*(D53-1)*$C$8*100</f>
        <v>65.42759629892126</v>
      </c>
      <c r="G53" s="9">
        <f t="shared" si="8"/>
        <v>504.6029614483612</v>
      </c>
      <c r="H53" s="12">
        <f>+H52+0.5*(G52+G53)*(B53-B52)</f>
        <v>27.44826503091307</v>
      </c>
      <c r="I53" s="45">
        <f t="shared" si="10"/>
        <v>27.44826503091307</v>
      </c>
      <c r="J53" s="44">
        <f t="shared" si="11"/>
        <v>0.8411630912797823</v>
      </c>
      <c r="K53" s="9">
        <f t="shared" si="4"/>
        <v>-1.3561330557730416</v>
      </c>
      <c r="L53" s="9">
        <f t="shared" si="12"/>
        <v>51.49009810697563</v>
      </c>
      <c r="M53" s="9">
        <f t="shared" si="13"/>
        <v>51.49009810697563</v>
      </c>
      <c r="N53" s="20">
        <f t="shared" si="5"/>
        <v>0.004131128821774795</v>
      </c>
      <c r="O53" s="21">
        <f t="shared" si="6"/>
        <v>258.4630684044253</v>
      </c>
    </row>
    <row r="54" spans="1:16" ht="12.75">
      <c r="A54" s="8">
        <f>+A53+1</f>
        <v>20</v>
      </c>
      <c r="B54" s="11">
        <f>+B53+(A54/40)*(1-C53)*(B53-B52)/(C53-C52)</f>
        <v>0.06350932246437921</v>
      </c>
      <c r="C54" s="11">
        <f t="shared" si="1"/>
        <v>0.9995882805610015</v>
      </c>
      <c r="D54" s="12">
        <f t="shared" si="2"/>
        <v>6.072781257337402</v>
      </c>
      <c r="E54" s="11">
        <f t="shared" si="0"/>
        <v>0.12433698854127406</v>
      </c>
      <c r="F54" s="9">
        <f>2*$E$5*(D54-1)*$C$8*100</f>
        <v>65.38249547344469</v>
      </c>
      <c r="G54" s="9">
        <f t="shared" si="8"/>
        <v>505.0694013812045</v>
      </c>
      <c r="H54" s="12">
        <f>+H53+0.5*(G53+G54)*(B54-B53)</f>
        <v>27.499140943879738</v>
      </c>
      <c r="I54" s="45">
        <f t="shared" si="10"/>
        <v>27.499140943879738</v>
      </c>
      <c r="J54" s="44">
        <f t="shared" si="11"/>
        <v>0.8439318106654289</v>
      </c>
      <c r="K54" s="9">
        <f t="shared" si="4"/>
        <v>-1.3611649547724534</v>
      </c>
      <c r="L54" s="9">
        <f t="shared" si="12"/>
        <v>51.53769401849025</v>
      </c>
      <c r="M54" s="9">
        <f t="shared" si="13"/>
        <v>51.53769401849025</v>
      </c>
      <c r="N54" s="20">
        <f t="shared" si="5"/>
        <v>0.004131128821774795</v>
      </c>
      <c r="O54" s="21">
        <f t="shared" si="6"/>
        <v>258.42053294614306</v>
      </c>
      <c r="P54" s="23"/>
    </row>
    <row r="55" spans="1:15" ht="12.75">
      <c r="A55" s="8">
        <f t="shared" si="7"/>
        <v>21</v>
      </c>
      <c r="B55" s="11">
        <f>+B54+(A55/40)*(1-C54)*(B54-B50)/(C54-C50)</f>
        <v>0.06356218119794432</v>
      </c>
      <c r="C55" s="11">
        <f t="shared" si="1"/>
        <v>0.9998038888501658</v>
      </c>
      <c r="D55" s="12">
        <f t="shared" si="2"/>
        <v>6.070947898091213</v>
      </c>
      <c r="E55" s="11">
        <f t="shared" si="0"/>
        <v>0.1242291843966919</v>
      </c>
      <c r="F55" s="9">
        <f t="shared" si="3"/>
        <v>65.35886551651689</v>
      </c>
      <c r="G55" s="9">
        <f>+(F55+2*K54-K50)/E55-$I$7</f>
        <v>504.91985655127354</v>
      </c>
      <c r="H55" s="12">
        <f t="shared" si="9"/>
        <v>27.525834320424078</v>
      </c>
      <c r="I55" s="45">
        <f t="shared" si="10"/>
        <v>27.525834320424078</v>
      </c>
      <c r="J55" s="44">
        <f t="shared" si="11"/>
        <v>0.8453860859188903</v>
      </c>
      <c r="K55" s="9">
        <f t="shared" si="4"/>
        <v>-1.3638087990637848</v>
      </c>
      <c r="L55" s="9">
        <f t="shared" si="12"/>
        <v>51.52243434196669</v>
      </c>
      <c r="M55" s="9">
        <f t="shared" si="13"/>
        <v>51.52243434196669</v>
      </c>
      <c r="N55" s="20">
        <f t="shared" si="5"/>
        <v>0.004131128821774795</v>
      </c>
      <c r="O55" s="21">
        <f t="shared" si="6"/>
        <v>258.3982400886377</v>
      </c>
    </row>
    <row r="56" spans="1:15" ht="12.75">
      <c r="A56" s="8">
        <f t="shared" si="7"/>
        <v>22</v>
      </c>
      <c r="B56" s="11">
        <f t="shared" si="14"/>
        <v>0.06358862453591675</v>
      </c>
      <c r="C56" s="11">
        <f t="shared" si="1"/>
        <v>0.9999117304897102</v>
      </c>
      <c r="D56" s="12">
        <f t="shared" si="2"/>
        <v>6.070031255586041</v>
      </c>
      <c r="E56" s="11">
        <f t="shared" si="0"/>
        <v>0.12417526357691971</v>
      </c>
      <c r="F56" s="9">
        <f t="shared" si="3"/>
        <v>65.3470510164616</v>
      </c>
      <c r="G56" s="9">
        <f aca="true" t="shared" si="15" ref="G56:G71">+(F56+2*K55-K54)/E56-$I$7</f>
        <v>505.4443129985711</v>
      </c>
      <c r="H56" s="12">
        <f t="shared" si="9"/>
        <v>27.539193021029398</v>
      </c>
      <c r="I56" s="45">
        <f t="shared" si="10"/>
        <v>27.539193021029398</v>
      </c>
      <c r="J56" s="44">
        <f t="shared" si="11"/>
        <v>0.8461141374831158</v>
      </c>
      <c r="K56" s="9">
        <f t="shared" si="4"/>
        <v>-1.3651328740491255</v>
      </c>
      <c r="L56" s="9">
        <f t="shared" si="12"/>
        <v>51.57595030597664</v>
      </c>
      <c r="M56" s="9">
        <f t="shared" si="13"/>
        <v>51.57595030597664</v>
      </c>
      <c r="N56" s="20">
        <f t="shared" si="5"/>
        <v>0.004131128821774795</v>
      </c>
      <c r="O56" s="21">
        <f t="shared" si="6"/>
        <v>258.3870923080144</v>
      </c>
    </row>
    <row r="57" spans="1:18" ht="12.75">
      <c r="A57" s="25">
        <f t="shared" si="7"/>
        <v>23</v>
      </c>
      <c r="B57" s="16">
        <f t="shared" si="14"/>
        <v>0.06360106992147739</v>
      </c>
      <c r="C57" s="16">
        <f t="shared" si="1"/>
        <v>0.9999624808705956</v>
      </c>
      <c r="D57" s="17">
        <f t="shared" si="2"/>
        <v>6.0695999648246195</v>
      </c>
      <c r="E57" s="16">
        <f t="shared" si="0"/>
        <v>0.124149888386477</v>
      </c>
      <c r="F57" s="18">
        <f t="shared" si="3"/>
        <v>65.34149215933257</v>
      </c>
      <c r="G57" s="18">
        <f t="shared" si="15"/>
        <v>505.5048145411509</v>
      </c>
      <c r="H57" s="17">
        <f t="shared" si="9"/>
        <v>27.54548384686661</v>
      </c>
      <c r="I57" s="45">
        <f t="shared" si="10"/>
        <v>27.54548384686661</v>
      </c>
      <c r="J57" s="44">
        <f t="shared" si="11"/>
        <v>0.8464569125041679</v>
      </c>
      <c r="K57" s="18">
        <f t="shared" si="4"/>
        <v>-1.3657566246443806</v>
      </c>
      <c r="L57" s="18">
        <f t="shared" si="12"/>
        <v>51.58212393277049</v>
      </c>
      <c r="M57" s="18">
        <f t="shared" si="13"/>
        <v>51.58212393277049</v>
      </c>
      <c r="N57" s="24">
        <f t="shared" si="5"/>
        <v>0.004131128821774795</v>
      </c>
      <c r="O57" s="22">
        <f t="shared" si="6"/>
        <v>258.3818467339994</v>
      </c>
      <c r="P57" s="15" t="s">
        <v>52</v>
      </c>
      <c r="Q57" s="19"/>
      <c r="R57" s="19"/>
    </row>
    <row r="58" spans="1:15" ht="12.75">
      <c r="A58" s="8" t="s">
        <v>5</v>
      </c>
      <c r="B58" s="11">
        <f>+B57+0.01</f>
        <v>0.07360106992147739</v>
      </c>
      <c r="C58" s="11" t="s">
        <v>5</v>
      </c>
      <c r="D58" s="12">
        <f aca="true" t="shared" si="16" ref="D58:D73">+(N58*288*O57/$E$4)/($C$8*100)</f>
        <v>4.628634012715125</v>
      </c>
      <c r="E58" s="11">
        <f aca="true" t="shared" si="17" ref="E58:E73">+($E$3+N58)</f>
        <v>0.12315048783025592</v>
      </c>
      <c r="F58" s="9">
        <f>0.89*$C$8*100*(D58-1)*$E$5</f>
        <v>20.812226078691452</v>
      </c>
      <c r="G58" s="4">
        <f t="shared" si="15"/>
        <v>148.10311549764165</v>
      </c>
      <c r="H58" s="4">
        <f t="shared" si="9"/>
        <v>30.813523497060572</v>
      </c>
      <c r="I58" s="45">
        <f t="shared" si="10"/>
        <v>30.813523497060572</v>
      </c>
      <c r="J58" s="44">
        <f t="shared" si="11"/>
        <v>1.1382519492238037</v>
      </c>
      <c r="K58" s="5">
        <f t="shared" si="4"/>
        <v>-1.709051814547027</v>
      </c>
      <c r="L58" s="9">
        <f t="shared" si="12"/>
        <v>15.112562805881801</v>
      </c>
      <c r="M58" s="9">
        <f t="shared" si="13"/>
        <v>15.112562805881801</v>
      </c>
      <c r="N58" s="20">
        <f aca="true" t="shared" si="18" ref="N58:N71">+N57-(B58-B57)*0.578*D57*$C$8*100*(1.4/(288*O57))^0.5*$E$5</f>
        <v>0.0031504878302559287</v>
      </c>
      <c r="O58" s="21">
        <f aca="true" t="shared" si="19" ref="O58:O73">+$O$34*(D58/$D$34)^0.286</f>
        <v>239.07588769185963</v>
      </c>
    </row>
    <row r="59" spans="1:15" ht="12.75">
      <c r="A59" s="8">
        <v>1</v>
      </c>
      <c r="B59" s="11">
        <f>+B58+(A59/20)*(D58-1)*(B58-B57)/(D57-D58)</f>
        <v>0.07486016768412855</v>
      </c>
      <c r="D59" s="12">
        <f t="shared" si="16"/>
        <v>4.149720263319444</v>
      </c>
      <c r="E59" s="11">
        <f t="shared" si="17"/>
        <v>0.12305260074888902</v>
      </c>
      <c r="F59" s="9">
        <f aca="true" t="shared" si="20" ref="F59:F66">0.89*$C$8*100*(D59-1)*$E$5</f>
        <v>18.065390440351973</v>
      </c>
      <c r="G59" s="4">
        <f t="shared" si="15"/>
        <v>120.33169440099685</v>
      </c>
      <c r="H59" s="4">
        <f aca="true" t="shared" si="21" ref="H59:H66">+H58+0.5*(G58+G59)*(B59-B58)</f>
        <v>30.982516331341106</v>
      </c>
      <c r="I59" s="45">
        <f t="shared" si="10"/>
        <v>30.982516331341106</v>
      </c>
      <c r="J59" s="44">
        <f t="shared" si="11"/>
        <v>1.177155576968125</v>
      </c>
      <c r="K59" s="5">
        <f t="shared" si="4"/>
        <v>-1.727849372799273</v>
      </c>
      <c r="L59" s="9">
        <f t="shared" si="12"/>
        <v>12.278744326632332</v>
      </c>
      <c r="M59" s="9">
        <f t="shared" si="13"/>
        <v>12.278744326632332</v>
      </c>
      <c r="N59" s="20">
        <f t="shared" si="18"/>
        <v>0.0030526007488890223</v>
      </c>
      <c r="O59" s="21">
        <f t="shared" si="19"/>
        <v>231.7232692181714</v>
      </c>
    </row>
    <row r="60" spans="1:15" ht="12.75">
      <c r="A60" s="8">
        <f t="shared" si="7"/>
        <v>2</v>
      </c>
      <c r="B60" s="11">
        <f>+B59+(A60/20)*(D59-1)*(B59-B58)/(D58-D59)</f>
        <v>0.07568825118382486</v>
      </c>
      <c r="D60" s="12">
        <f t="shared" si="16"/>
        <v>3.9448531508355797</v>
      </c>
      <c r="E60" s="11">
        <f t="shared" si="17"/>
        <v>0.1229939749056296</v>
      </c>
      <c r="F60" s="9">
        <f t="shared" si="20"/>
        <v>16.89036406784863</v>
      </c>
      <c r="G60" s="4">
        <f t="shared" si="15"/>
        <v>113.32568276955462</v>
      </c>
      <c r="H60" s="4">
        <f t="shared" si="21"/>
        <v>31.07926024064973</v>
      </c>
      <c r="I60" s="45">
        <f t="shared" si="10"/>
        <v>31.07926024064973</v>
      </c>
      <c r="J60" s="44">
        <f t="shared" si="11"/>
        <v>1.2028517435386772</v>
      </c>
      <c r="K60" s="5">
        <f t="shared" si="4"/>
        <v>-1.7386567507908561</v>
      </c>
      <c r="L60" s="9">
        <f t="shared" si="12"/>
        <v>11.563845180566798</v>
      </c>
      <c r="M60" s="9">
        <f t="shared" si="13"/>
        <v>11.563845180566798</v>
      </c>
      <c r="N60" s="20">
        <f t="shared" si="18"/>
        <v>0.002993974905629613</v>
      </c>
      <c r="O60" s="21">
        <f t="shared" si="19"/>
        <v>228.3921036082958</v>
      </c>
    </row>
    <row r="61" spans="1:15" ht="12.75">
      <c r="A61" s="8">
        <f t="shared" si="7"/>
        <v>3</v>
      </c>
      <c r="B61" s="11">
        <f>+B60+(A61/20)*(D60-1)*(B60-B59)/(D59-D60)</f>
        <v>0.07747373857148036</v>
      </c>
      <c r="D61" s="12">
        <f t="shared" si="16"/>
        <v>3.730954430812076</v>
      </c>
      <c r="E61" s="11">
        <f t="shared" si="17"/>
        <v>0.12287293514419677</v>
      </c>
      <c r="F61" s="9">
        <f t="shared" si="20"/>
        <v>15.663536423210836</v>
      </c>
      <c r="G61" s="4">
        <f t="shared" si="15"/>
        <v>103.43952079519892</v>
      </c>
      <c r="H61" s="4">
        <f t="shared" si="21"/>
        <v>31.272776009173455</v>
      </c>
      <c r="I61" s="45">
        <f t="shared" si="10"/>
        <v>31.272776009173455</v>
      </c>
      <c r="J61" s="44">
        <f t="shared" si="11"/>
        <v>1.2585161306980264</v>
      </c>
      <c r="K61" s="5">
        <f t="shared" si="4"/>
        <v>-1.7603757347758826</v>
      </c>
      <c r="L61" s="9">
        <f t="shared" si="12"/>
        <v>10.555053142367235</v>
      </c>
      <c r="M61" s="9">
        <f t="shared" si="13"/>
        <v>10.555053142367235</v>
      </c>
      <c r="N61" s="20">
        <f t="shared" si="18"/>
        <v>0.002872935144196776</v>
      </c>
      <c r="O61" s="21">
        <f t="shared" si="19"/>
        <v>224.77953489504083</v>
      </c>
    </row>
    <row r="62" spans="1:15" ht="12.75">
      <c r="A62" s="8">
        <f t="shared" si="7"/>
        <v>4</v>
      </c>
      <c r="B62" s="11">
        <f>+B61+(A62/20)*(D61-1)*(B61-B60)/(D60-D61)</f>
        <v>0.08203298482778436</v>
      </c>
      <c r="D62" s="12">
        <f t="shared" si="16"/>
        <v>3.2953360403701466</v>
      </c>
      <c r="E62" s="11">
        <f t="shared" si="17"/>
        <v>0.12257827894382224</v>
      </c>
      <c r="F62" s="9">
        <f t="shared" si="20"/>
        <v>13.165023651147239</v>
      </c>
      <c r="G62" s="4">
        <f t="shared" si="15"/>
        <v>83.06252858553462</v>
      </c>
      <c r="H62" s="4">
        <f t="shared" si="21"/>
        <v>31.69793039438952</v>
      </c>
      <c r="I62" s="45">
        <f t="shared" si="10"/>
        <v>31.69793039438952</v>
      </c>
      <c r="J62" s="44">
        <f t="shared" si="11"/>
        <v>1.4020656094116577</v>
      </c>
      <c r="K62" s="5">
        <f t="shared" si="4"/>
        <v>-1.8085658243176133</v>
      </c>
      <c r="L62" s="9">
        <f t="shared" si="12"/>
        <v>8.475768223013736</v>
      </c>
      <c r="M62" s="9">
        <f t="shared" si="13"/>
        <v>8.475768223013736</v>
      </c>
      <c r="N62" s="20">
        <f t="shared" si="18"/>
        <v>0.0025782789438222454</v>
      </c>
      <c r="O62" s="21">
        <f t="shared" si="19"/>
        <v>216.9379743402345</v>
      </c>
    </row>
    <row r="63" spans="1:15" ht="12.75">
      <c r="A63" s="8">
        <f t="shared" si="7"/>
        <v>5</v>
      </c>
      <c r="B63" s="11">
        <f>+B62+(A63/20)*(D62-1)*(B62-B61)/(D61-D62)</f>
        <v>0.08803881612338267</v>
      </c>
      <c r="D63" s="12">
        <f t="shared" si="16"/>
        <v>2.749914567186947</v>
      </c>
      <c r="E63" s="11">
        <f t="shared" si="17"/>
        <v>0.12222931060984545</v>
      </c>
      <c r="F63" s="9">
        <f t="shared" si="20"/>
        <v>10.036729376143192</v>
      </c>
      <c r="G63" s="4">
        <f t="shared" si="15"/>
        <v>57.12317433086267</v>
      </c>
      <c r="H63" s="4">
        <f t="shared" si="21"/>
        <v>32.118896235274896</v>
      </c>
      <c r="I63" s="45">
        <f t="shared" si="10"/>
        <v>32.118896235274896</v>
      </c>
      <c r="J63" s="44">
        <f t="shared" si="11"/>
        <v>1.593702156690763</v>
      </c>
      <c r="K63" s="5">
        <f t="shared" si="4"/>
        <v>-1.8569222916702406</v>
      </c>
      <c r="L63" s="9">
        <f t="shared" si="12"/>
        <v>5.828895339883945</v>
      </c>
      <c r="M63" s="9">
        <f t="shared" si="13"/>
        <v>5.828895339883945</v>
      </c>
      <c r="N63" s="20">
        <f t="shared" si="18"/>
        <v>0.0022293106098454536</v>
      </c>
      <c r="O63" s="21">
        <f t="shared" si="19"/>
        <v>205.99731309957667</v>
      </c>
    </row>
    <row r="64" spans="1:15" ht="12.75">
      <c r="A64" s="8">
        <f aca="true" t="shared" si="22" ref="A64:A73">+A63+1</f>
        <v>6</v>
      </c>
      <c r="B64" s="11">
        <f aca="true" t="shared" si="23" ref="B64:B70">+B63+(A64/20)*(D63-1)*(B63-B62)/(D62-D63)</f>
        <v>0.09381949704023283</v>
      </c>
      <c r="D64" s="12">
        <f t="shared" si="16"/>
        <v>2.2743132516914173</v>
      </c>
      <c r="E64" s="11">
        <f t="shared" si="17"/>
        <v>0.12194167119600174</v>
      </c>
      <c r="F64" s="9">
        <f t="shared" si="20"/>
        <v>7.308892381083552</v>
      </c>
      <c r="G64" s="4">
        <f t="shared" si="15"/>
        <v>34.51310124801586</v>
      </c>
      <c r="H64" s="4">
        <f t="shared" si="21"/>
        <v>32.38375627003992</v>
      </c>
      <c r="I64" s="45">
        <f t="shared" si="10"/>
        <v>32.38375627003992</v>
      </c>
      <c r="J64" s="44">
        <f t="shared" si="11"/>
        <v>1.7801367829026082</v>
      </c>
      <c r="K64" s="5">
        <f t="shared" si="4"/>
        <v>-1.8876738062832294</v>
      </c>
      <c r="L64" s="9">
        <f t="shared" si="12"/>
        <v>3.5217450253077405</v>
      </c>
      <c r="M64" s="9">
        <f t="shared" si="13"/>
        <v>3.5217450253077405</v>
      </c>
      <c r="N64" s="20">
        <f t="shared" si="18"/>
        <v>0.001941671196001752</v>
      </c>
      <c r="O64" s="21">
        <f t="shared" si="19"/>
        <v>195.1081651372373</v>
      </c>
    </row>
    <row r="65" spans="1:15" ht="12.75">
      <c r="A65" s="8">
        <f t="shared" si="22"/>
        <v>7</v>
      </c>
      <c r="B65" s="11">
        <f t="shared" si="23"/>
        <v>0.09924050686431916</v>
      </c>
      <c r="D65" s="12">
        <f t="shared" si="16"/>
        <v>1.899782336955984</v>
      </c>
      <c r="E65" s="11">
        <f t="shared" si="17"/>
        <v>0.12171243999626682</v>
      </c>
      <c r="F65" s="9">
        <f t="shared" si="20"/>
        <v>5.160750120492088</v>
      </c>
      <c r="G65" s="4">
        <f t="shared" si="15"/>
        <v>16.839222742517677</v>
      </c>
      <c r="H65" s="4">
        <f t="shared" si="21"/>
        <v>32.522946996461094</v>
      </c>
      <c r="I65" s="45">
        <f t="shared" si="10"/>
        <v>32.522946996461094</v>
      </c>
      <c r="J65" s="44">
        <f t="shared" si="11"/>
        <v>1.9560667209309874</v>
      </c>
      <c r="K65" s="5">
        <f t="shared" si="4"/>
        <v>-1.903935746402312</v>
      </c>
      <c r="L65" s="9">
        <f t="shared" si="12"/>
        <v>1.7182880349507832</v>
      </c>
      <c r="M65" s="9">
        <f t="shared" si="13"/>
        <v>1.7182880349507832</v>
      </c>
      <c r="N65" s="20">
        <f t="shared" si="18"/>
        <v>0.0017124399962668273</v>
      </c>
      <c r="O65" s="21">
        <f t="shared" si="19"/>
        <v>185.32139637533933</v>
      </c>
    </row>
    <row r="66" spans="1:15" ht="12.75">
      <c r="A66" s="8">
        <f t="shared" si="22"/>
        <v>8</v>
      </c>
      <c r="B66" s="11">
        <f t="shared" si="23"/>
        <v>0.1044499341198752</v>
      </c>
      <c r="D66" s="12">
        <f t="shared" si="16"/>
        <v>1.6055348034264458</v>
      </c>
      <c r="E66" s="11">
        <f t="shared" si="17"/>
        <v>0.12152363563802152</v>
      </c>
      <c r="F66" s="9">
        <f t="shared" si="20"/>
        <v>3.4730775226342923</v>
      </c>
      <c r="G66" s="4">
        <f t="shared" si="15"/>
        <v>2.9784181896796635</v>
      </c>
      <c r="H66" s="4">
        <f t="shared" si="21"/>
        <v>32.5745662758676</v>
      </c>
      <c r="I66" s="45">
        <f t="shared" si="10"/>
        <v>32.5745662758676</v>
      </c>
      <c r="J66" s="44">
        <f t="shared" si="11"/>
        <v>2.1256271008858825</v>
      </c>
      <c r="K66" s="5">
        <f t="shared" si="4"/>
        <v>-1.9099842625096037</v>
      </c>
      <c r="L66" s="9">
        <f t="shared" si="12"/>
        <v>0.30392022343670033</v>
      </c>
      <c r="M66" s="9">
        <f t="shared" si="13"/>
        <v>0.30392022343670033</v>
      </c>
      <c r="N66" s="20">
        <f t="shared" si="18"/>
        <v>0.0015236356380215255</v>
      </c>
      <c r="O66" s="21">
        <f t="shared" si="19"/>
        <v>176.61334061236786</v>
      </c>
    </row>
    <row r="67" spans="1:15" ht="12.75">
      <c r="A67" s="8">
        <f t="shared" si="22"/>
        <v>9</v>
      </c>
      <c r="B67" s="11">
        <f t="shared" si="23"/>
        <v>0.10927417261762415</v>
      </c>
      <c r="D67" s="12">
        <f t="shared" si="16"/>
        <v>1.3780886920362072</v>
      </c>
      <c r="E67" s="11">
        <f t="shared" si="17"/>
        <v>0.12137227333909868</v>
      </c>
      <c r="F67" s="9">
        <f aca="true" t="shared" si="24" ref="F67:F73">0.89*$C$8*100*(D67-1)*$E$5</f>
        <v>2.168548084177388</v>
      </c>
      <c r="G67" s="4">
        <f t="shared" si="15"/>
        <v>-7.71949760341889</v>
      </c>
      <c r="H67" s="4">
        <f aca="true" t="shared" si="25" ref="H67:H76">+H66+0.5*(G66+G67)*(B67-B66)</f>
        <v>32.563130226953284</v>
      </c>
      <c r="I67" s="45">
        <f t="shared" si="10"/>
        <v>32.563130226953284</v>
      </c>
      <c r="J67" s="44">
        <f t="shared" si="11"/>
        <v>2.2827469924476804</v>
      </c>
      <c r="K67" s="5">
        <f aca="true" t="shared" si="26" ref="K67:K98">-0.5*$I$5*$I$4*$I$3*ABS(H67)*H67</f>
        <v>-1.9086434103195333</v>
      </c>
      <c r="L67" s="9">
        <f t="shared" si="12"/>
        <v>-0.7877038370835601</v>
      </c>
      <c r="M67" s="9">
        <f t="shared" si="13"/>
        <v>-0.7877038370835601</v>
      </c>
      <c r="N67" s="20">
        <f t="shared" si="18"/>
        <v>0.0013722733390986802</v>
      </c>
      <c r="O67" s="21">
        <f t="shared" si="19"/>
        <v>169.06337497140404</v>
      </c>
    </row>
    <row r="68" spans="1:15" ht="12.75">
      <c r="A68" s="8">
        <f t="shared" si="22"/>
        <v>10</v>
      </c>
      <c r="B68" s="11">
        <f t="shared" si="23"/>
        <v>0.11328389169467427</v>
      </c>
      <c r="D68" s="12">
        <f t="shared" si="16"/>
        <v>1.213078728623202</v>
      </c>
      <c r="E68" s="11">
        <f t="shared" si="17"/>
        <v>0.12126190428456106</v>
      </c>
      <c r="F68" s="9">
        <f t="shared" si="24"/>
        <v>1.2221245397377523</v>
      </c>
      <c r="G68" s="4">
        <f t="shared" si="15"/>
        <v>-15.450397974815136</v>
      </c>
      <c r="H68" s="4">
        <f t="shared" si="25"/>
        <v>32.51667784079663</v>
      </c>
      <c r="I68" s="45">
        <f t="shared" si="10"/>
        <v>32.51667784079663</v>
      </c>
      <c r="J68" s="44">
        <f t="shared" si="11"/>
        <v>2.4132228664176893</v>
      </c>
      <c r="K68" s="5">
        <f t="shared" si="26"/>
        <v>-1.9032018080438784</v>
      </c>
      <c r="L68" s="9">
        <f t="shared" si="12"/>
        <v>-1.5765712219199117</v>
      </c>
      <c r="M68" s="9">
        <f t="shared" si="13"/>
        <v>-1.5765712219199117</v>
      </c>
      <c r="N68" s="20">
        <f t="shared" si="18"/>
        <v>0.001261904284561061</v>
      </c>
      <c r="O68" s="21">
        <f t="shared" si="19"/>
        <v>163.0078481874021</v>
      </c>
    </row>
    <row r="69" spans="1:15" ht="12.75">
      <c r="A69" s="8">
        <f t="shared" si="22"/>
        <v>11</v>
      </c>
      <c r="B69" s="11">
        <f t="shared" si="23"/>
        <v>0.11613167254360746</v>
      </c>
      <c r="D69" s="12">
        <f t="shared" si="16"/>
        <v>1.1044966572945392</v>
      </c>
      <c r="E69" s="11">
        <f t="shared" si="17"/>
        <v>0.12119163390993719</v>
      </c>
      <c r="F69" s="9">
        <f t="shared" si="24"/>
        <v>0.5993462136056513</v>
      </c>
      <c r="G69" s="4">
        <f t="shared" si="15"/>
        <v>-20.513726271959335</v>
      </c>
      <c r="H69" s="4">
        <f t="shared" si="25"/>
        <v>32.465468868657325</v>
      </c>
      <c r="I69" s="45">
        <f t="shared" si="10"/>
        <v>32.465468868657325</v>
      </c>
      <c r="J69" s="44">
        <f t="shared" si="11"/>
        <v>2.505750322878564</v>
      </c>
      <c r="K69" s="5">
        <f t="shared" si="26"/>
        <v>-1.8972120039511642</v>
      </c>
      <c r="L69" s="9">
        <f t="shared" si="12"/>
        <v>-2.093237374689728</v>
      </c>
      <c r="M69" s="9">
        <f t="shared" si="13"/>
        <v>-2.093237374689728</v>
      </c>
      <c r="N69" s="20">
        <f t="shared" si="18"/>
        <v>0.0011916339099371873</v>
      </c>
      <c r="O69" s="21">
        <f t="shared" si="19"/>
        <v>158.69428397684223</v>
      </c>
    </row>
    <row r="70" spans="1:15" ht="12.75">
      <c r="A70" s="8">
        <f t="shared" si="22"/>
        <v>12</v>
      </c>
      <c r="B70" s="11">
        <f t="shared" si="23"/>
        <v>0.11777605218628444</v>
      </c>
      <c r="D70" s="12">
        <f t="shared" si="16"/>
        <v>1.0414827841280427</v>
      </c>
      <c r="E70" s="11">
        <f t="shared" si="17"/>
        <v>0.12115419123833038</v>
      </c>
      <c r="F70" s="9">
        <f t="shared" si="24"/>
        <v>0.23792674560760618</v>
      </c>
      <c r="G70" s="4">
        <f t="shared" si="15"/>
        <v>-23.446209325094976</v>
      </c>
      <c r="H70" s="4">
        <f t="shared" si="25"/>
        <v>32.42932545706273</v>
      </c>
      <c r="I70" s="45">
        <f t="shared" si="10"/>
        <v>32.42932545706273</v>
      </c>
      <c r="J70" s="44">
        <f t="shared" si="11"/>
        <v>2.559106162231026</v>
      </c>
      <c r="K70" s="5">
        <f t="shared" si="26"/>
        <v>-1.8929900692801744</v>
      </c>
      <c r="L70" s="9">
        <f t="shared" si="12"/>
        <v>-2.3924703392954054</v>
      </c>
      <c r="M70" s="9">
        <f t="shared" si="13"/>
        <v>-2.3924703392954054</v>
      </c>
      <c r="N70" s="20">
        <f t="shared" si="18"/>
        <v>0.0011541912383303849</v>
      </c>
      <c r="O70" s="21">
        <f t="shared" si="19"/>
        <v>156.05035585349188</v>
      </c>
    </row>
    <row r="71" spans="1:15" ht="12.75">
      <c r="A71" s="8">
        <f>+A70+1</f>
        <v>13</v>
      </c>
      <c r="B71" s="11">
        <f>+B70+(A71/20)*(D70-1)*(B70-B69)/(D69-D70)</f>
        <v>0.1184796867591818</v>
      </c>
      <c r="D71" s="12">
        <f t="shared" si="16"/>
        <v>1.010612735645766</v>
      </c>
      <c r="E71" s="11">
        <f t="shared" si="17"/>
        <v>0.1211389560489344</v>
      </c>
      <c r="F71" s="9">
        <f t="shared" si="24"/>
        <v>0.06086991766022678</v>
      </c>
      <c r="G71" s="4">
        <f t="shared" si="15"/>
        <v>-24.889268362281193</v>
      </c>
      <c r="H71" s="4">
        <f>+H70+0.5*(G70+G71)*(B71-B70)</f>
        <v>32.412320200463554</v>
      </c>
      <c r="I71" s="45">
        <f t="shared" si="10"/>
        <v>32.412320200463554</v>
      </c>
      <c r="J71" s="44">
        <f t="shared" si="11"/>
        <v>2.581918574055124</v>
      </c>
      <c r="K71" s="5">
        <f t="shared" si="26"/>
        <v>-1.89100530139928</v>
      </c>
      <c r="L71" s="9">
        <f t="shared" si="12"/>
        <v>-2.5397212614572644</v>
      </c>
      <c r="M71" s="9">
        <f t="shared" si="13"/>
        <v>-2.5397212614572644</v>
      </c>
      <c r="N71" s="20">
        <f t="shared" si="18"/>
        <v>0.0011389560489344084</v>
      </c>
      <c r="O71" s="21">
        <f t="shared" si="19"/>
        <v>154.7132493330837</v>
      </c>
    </row>
    <row r="72" spans="1:15" ht="12.75">
      <c r="A72" s="8">
        <f>+A71+1</f>
        <v>14</v>
      </c>
      <c r="B72" s="11">
        <f>+B70+(A72/20)*(D70-1)*(B70-B69)/(D69-D70)</f>
        <v>0.11853381249555853</v>
      </c>
      <c r="D72" s="12">
        <f t="shared" si="16"/>
        <v>1.0009224036789435</v>
      </c>
      <c r="E72" s="11">
        <f t="shared" si="17"/>
        <v>0.12113778411128856</v>
      </c>
      <c r="F72" s="9">
        <f t="shared" si="24"/>
        <v>0.005290496047471023</v>
      </c>
      <c r="G72" s="4">
        <f>+(F72+2*K70-K69)/E72-$I$7</f>
        <v>-25.348225950966494</v>
      </c>
      <c r="H72" s="4">
        <f>+H70+0.5*(G70+G72)*(B72-B70)</f>
        <v>32.41083821387991</v>
      </c>
      <c r="I72" s="45">
        <f t="shared" si="10"/>
        <v>32.41083821387991</v>
      </c>
      <c r="J72" s="44">
        <f t="shared" si="11"/>
        <v>2.5836728746468447</v>
      </c>
      <c r="K72" s="5">
        <f t="shared" si="26"/>
        <v>-1.890832380707337</v>
      </c>
      <c r="L72" s="9">
        <f t="shared" si="12"/>
        <v>-2.5865536684659687</v>
      </c>
      <c r="M72" s="9">
        <f t="shared" si="13"/>
        <v>-2.5865536684659687</v>
      </c>
      <c r="N72" s="20">
        <f>+N70-(B72-B70)*0.578*D70*$C$8*100*(1.4/(288*O70))^0.5*$E$5</f>
        <v>0.0011377841112885638</v>
      </c>
      <c r="O72" s="21">
        <f t="shared" si="19"/>
        <v>154.28751399349466</v>
      </c>
    </row>
    <row r="73" spans="1:19" ht="12.75">
      <c r="A73" s="8">
        <f t="shared" si="22"/>
        <v>15</v>
      </c>
      <c r="B73" s="26">
        <f>+B72+(A73/20)*(D72-1)*(B72-B70)/(D70-D72)</f>
        <v>0.1185467369471285</v>
      </c>
      <c r="C73" s="27"/>
      <c r="D73" s="28">
        <f t="shared" si="16"/>
        <v>0.9979308091364751</v>
      </c>
      <c r="E73" s="26">
        <f t="shared" si="17"/>
        <v>0.12113751363567381</v>
      </c>
      <c r="F73" s="29">
        <f t="shared" si="24"/>
        <v>-0.011867955792934657</v>
      </c>
      <c r="G73" s="30">
        <f>+(F73+2*K72-K70)/E73-$I$7</f>
        <v>-25.489133703399236</v>
      </c>
      <c r="H73" s="30">
        <f t="shared" si="25"/>
        <v>32.41050969138352</v>
      </c>
      <c r="I73" s="45">
        <f t="shared" si="10"/>
        <v>32.41050969138352</v>
      </c>
      <c r="J73" s="44">
        <f t="shared" si="11"/>
        <v>2.5840917648326958</v>
      </c>
      <c r="K73" s="31">
        <f t="shared" si="26"/>
        <v>-1.8907940492194768</v>
      </c>
      <c r="L73" s="29">
        <f t="shared" si="12"/>
        <v>-2.600932010550942</v>
      </c>
      <c r="M73" s="29">
        <f t="shared" si="13"/>
        <v>-2.600932010550942</v>
      </c>
      <c r="N73" s="32">
        <f>+N72-(B73-B72)*0.578*D72*$C$8*100*(1.4/(288*O72))^0.5*$E$5</f>
        <v>0.001137513635673811</v>
      </c>
      <c r="O73" s="33">
        <f t="shared" si="19"/>
        <v>154.15548689460707</v>
      </c>
      <c r="P73" s="27" t="s">
        <v>53</v>
      </c>
      <c r="Q73" s="27"/>
      <c r="R73" s="27"/>
      <c r="S73" s="27"/>
    </row>
    <row r="74" spans="1:14" ht="12.75">
      <c r="A74" s="8"/>
      <c r="B74" s="11">
        <f>+B73+0.1</f>
        <v>0.2185467369471285</v>
      </c>
      <c r="D74" s="12"/>
      <c r="E74" s="11">
        <f>+$E$73</f>
        <v>0.12113751363567381</v>
      </c>
      <c r="F74" s="21">
        <v>0</v>
      </c>
      <c r="G74" s="4">
        <f>+(F74+2*K73-K72)/E74-$I$7</f>
        <v>-25.408341800857364</v>
      </c>
      <c r="H74" s="4">
        <f t="shared" si="25"/>
        <v>29.865635916170685</v>
      </c>
      <c r="I74" s="45">
        <f t="shared" si="10"/>
        <v>29.865635916170685</v>
      </c>
      <c r="J74" s="44">
        <f t="shared" si="11"/>
        <v>5.697899045210406</v>
      </c>
      <c r="K74" s="5">
        <f t="shared" si="26"/>
        <v>-1.605521175619076</v>
      </c>
      <c r="L74" s="9">
        <f t="shared" si="12"/>
        <v>-2.592687938862996</v>
      </c>
      <c r="M74" s="9">
        <f t="shared" si="13"/>
        <v>-2.592687938862996</v>
      </c>
      <c r="N74" s="21"/>
    </row>
    <row r="75" spans="1:14" ht="12.75">
      <c r="A75" s="8"/>
      <c r="B75" s="11">
        <f aca="true" t="shared" si="27" ref="B75:B122">+B74+0.1</f>
        <v>0.31854673694712854</v>
      </c>
      <c r="D75" s="12"/>
      <c r="E75" s="11">
        <f aca="true" t="shared" si="28" ref="E75:E122">+$E$73</f>
        <v>0.12113751363567381</v>
      </c>
      <c r="F75" s="21">
        <v>0</v>
      </c>
      <c r="G75" s="4">
        <f>+(F75+2*K74-K73)/E75-$I$7</f>
        <v>-20.698756812768814</v>
      </c>
      <c r="H75" s="4">
        <f t="shared" si="25"/>
        <v>27.560280985489374</v>
      </c>
      <c r="I75" s="45">
        <f t="shared" si="10"/>
        <v>27.560280985489374</v>
      </c>
      <c r="J75" s="44">
        <f t="shared" si="11"/>
        <v>8.56919489029341</v>
      </c>
      <c r="K75" s="5">
        <f t="shared" si="26"/>
        <v>-1.367224358398429</v>
      </c>
      <c r="L75" s="9">
        <f t="shared" si="12"/>
        <v>-2.1121180421192665</v>
      </c>
      <c r="M75" s="9">
        <f t="shared" si="13"/>
        <v>-2.1121180421192665</v>
      </c>
      <c r="N75" s="21"/>
    </row>
    <row r="76" spans="1:14" ht="12.75">
      <c r="A76" s="8"/>
      <c r="B76" s="11">
        <f t="shared" si="27"/>
        <v>0.4185467369471285</v>
      </c>
      <c r="D76" s="12"/>
      <c r="E76" s="11">
        <f t="shared" si="28"/>
        <v>0.12113751363567381</v>
      </c>
      <c r="F76" s="21">
        <v>0</v>
      </c>
      <c r="G76" s="4">
        <f>+(F76+2*K75-K74)/E76-$I$7</f>
        <v>-19.119388414831423</v>
      </c>
      <c r="H76" s="4">
        <f t="shared" si="25"/>
        <v>25.56937372410936</v>
      </c>
      <c r="I76" s="45">
        <f t="shared" si="10"/>
        <v>25.56937372410936</v>
      </c>
      <c r="J76" s="44">
        <f t="shared" si="11"/>
        <v>11.225677625773347</v>
      </c>
      <c r="K76" s="5">
        <f t="shared" si="26"/>
        <v>-1.1768271707577136</v>
      </c>
      <c r="L76" s="9">
        <f t="shared" si="12"/>
        <v>-1.9509580015134105</v>
      </c>
      <c r="M76" s="9">
        <f t="shared" si="13"/>
        <v>-1.9509580015134105</v>
      </c>
      <c r="N76" s="21"/>
    </row>
    <row r="77" spans="2:13" ht="12.75">
      <c r="B77" s="11">
        <f t="shared" si="27"/>
        <v>0.5185467369471285</v>
      </c>
      <c r="E77" s="11">
        <f t="shared" si="28"/>
        <v>0.12113751363567381</v>
      </c>
      <c r="F77" s="21">
        <v>0</v>
      </c>
      <c r="G77" s="4">
        <f aca="true" t="shared" si="29" ref="G77:G122">+(2*K76-K75)/$E$3-$I$7</f>
        <v>-18.020249859308322</v>
      </c>
      <c r="H77" s="4">
        <f aca="true" t="shared" si="30" ref="H77:H106">+H76+0.5*(G76+G77)*(B77-B76)</f>
        <v>23.712391810402373</v>
      </c>
      <c r="I77" s="45">
        <f t="shared" si="10"/>
        <v>23.712391810402373</v>
      </c>
      <c r="J77" s="44">
        <f t="shared" si="11"/>
        <v>13.689765902498934</v>
      </c>
      <c r="K77" s="5">
        <f t="shared" si="26"/>
        <v>-1.0120995456660675</v>
      </c>
      <c r="L77" s="9">
        <f t="shared" si="12"/>
        <v>-1.8388010060518694</v>
      </c>
      <c r="M77" s="9">
        <f t="shared" si="13"/>
        <v>-1.8388010060518694</v>
      </c>
    </row>
    <row r="78" spans="2:13" ht="12.75">
      <c r="B78" s="11">
        <f t="shared" si="27"/>
        <v>0.6185467369471285</v>
      </c>
      <c r="E78" s="11">
        <f t="shared" si="28"/>
        <v>0.12113751363567381</v>
      </c>
      <c r="F78" s="21">
        <v>0</v>
      </c>
      <c r="G78" s="4">
        <f t="shared" si="29"/>
        <v>-16.861432671453514</v>
      </c>
      <c r="H78" s="4">
        <f t="shared" si="30"/>
        <v>21.968307683864282</v>
      </c>
      <c r="I78" s="45">
        <f t="shared" si="10"/>
        <v>21.968307683864282</v>
      </c>
      <c r="J78" s="44">
        <f t="shared" si="11"/>
        <v>15.973800877212266</v>
      </c>
      <c r="K78" s="5">
        <f t="shared" si="26"/>
        <v>-0.8686917764872748</v>
      </c>
      <c r="L78" s="9">
        <f t="shared" si="12"/>
        <v>-1.7205543542299502</v>
      </c>
      <c r="M78" s="9">
        <f t="shared" si="13"/>
        <v>-1.7205543542299502</v>
      </c>
    </row>
    <row r="79" spans="2:13" ht="12.75">
      <c r="B79" s="11">
        <f t="shared" si="27"/>
        <v>0.7185467369471285</v>
      </c>
      <c r="E79" s="11">
        <f t="shared" si="28"/>
        <v>0.12113751363567381</v>
      </c>
      <c r="F79" s="21">
        <v>0</v>
      </c>
      <c r="G79" s="4">
        <f t="shared" si="29"/>
        <v>-15.844033394237352</v>
      </c>
      <c r="H79" s="4">
        <f t="shared" si="30"/>
        <v>20.33303438057974</v>
      </c>
      <c r="I79" s="45">
        <f t="shared" si="10"/>
        <v>20.33303438057974</v>
      </c>
      <c r="J79" s="44">
        <f t="shared" si="11"/>
        <v>18.08886798043447</v>
      </c>
      <c r="K79" s="5">
        <f t="shared" si="26"/>
        <v>-0.7441781168193079</v>
      </c>
      <c r="L79" s="9">
        <f t="shared" si="12"/>
        <v>-1.6167381014527908</v>
      </c>
      <c r="M79" s="9">
        <f t="shared" si="13"/>
        <v>-1.6167381014527908</v>
      </c>
    </row>
    <row r="80" spans="2:13" ht="12.75">
      <c r="B80" s="11">
        <f t="shared" si="27"/>
        <v>0.8185467369471284</v>
      </c>
      <c r="E80" s="11">
        <f t="shared" si="28"/>
        <v>0.12113751363567381</v>
      </c>
      <c r="F80" s="21">
        <v>0</v>
      </c>
      <c r="G80" s="4">
        <f t="shared" si="29"/>
        <v>-14.963870476261176</v>
      </c>
      <c r="H80" s="4">
        <f t="shared" si="30"/>
        <v>18.792639187054814</v>
      </c>
      <c r="I80" s="45">
        <f t="shared" si="10"/>
        <v>18.792639187054814</v>
      </c>
      <c r="J80" s="44">
        <f t="shared" si="11"/>
        <v>20.045151658816195</v>
      </c>
      <c r="K80" s="5">
        <f t="shared" si="26"/>
        <v>-0.6356939177066907</v>
      </c>
      <c r="L80" s="9">
        <f t="shared" si="12"/>
        <v>-1.5269255588021606</v>
      </c>
      <c r="M80" s="9">
        <f t="shared" si="13"/>
        <v>-1.5269255588021606</v>
      </c>
    </row>
    <row r="81" spans="2:13" ht="12.75">
      <c r="B81" s="11">
        <f t="shared" si="27"/>
        <v>0.9185467369471284</v>
      </c>
      <c r="E81" s="11">
        <f t="shared" si="28"/>
        <v>0.12113751363567381</v>
      </c>
      <c r="F81" s="21">
        <v>0</v>
      </c>
      <c r="G81" s="4">
        <f t="shared" si="29"/>
        <v>-14.19341432161728</v>
      </c>
      <c r="H81" s="4">
        <f t="shared" si="30"/>
        <v>17.33477494716089</v>
      </c>
      <c r="I81" s="45">
        <f t="shared" si="10"/>
        <v>17.33477494716089</v>
      </c>
      <c r="J81" s="44">
        <f t="shared" si="11"/>
        <v>21.85152236552698</v>
      </c>
      <c r="K81" s="5">
        <f t="shared" si="26"/>
        <v>-0.5408899604436904</v>
      </c>
      <c r="L81" s="9">
        <f t="shared" si="12"/>
        <v>-1.4483075838384978</v>
      </c>
      <c r="M81" s="9">
        <f t="shared" si="13"/>
        <v>-1.4483075838384978</v>
      </c>
    </row>
    <row r="82" spans="2:13" ht="12.75">
      <c r="B82" s="11">
        <f t="shared" si="27"/>
        <v>1.0185467369471284</v>
      </c>
      <c r="E82" s="11">
        <f t="shared" si="28"/>
        <v>0.12113751363567381</v>
      </c>
      <c r="F82" s="21">
        <v>0</v>
      </c>
      <c r="G82" s="4">
        <f t="shared" si="29"/>
        <v>-13.517383359839085</v>
      </c>
      <c r="H82" s="4">
        <f t="shared" si="30"/>
        <v>15.949235063088073</v>
      </c>
      <c r="I82" s="45">
        <f t="shared" si="10"/>
        <v>15.949235063088073</v>
      </c>
      <c r="J82" s="44">
        <f t="shared" si="11"/>
        <v>23.515722866039425</v>
      </c>
      <c r="K82" s="5">
        <f t="shared" si="26"/>
        <v>-0.4578805783757484</v>
      </c>
      <c r="L82" s="9">
        <f t="shared" si="12"/>
        <v>-1.3793248326366412</v>
      </c>
      <c r="M82" s="9">
        <f t="shared" si="13"/>
        <v>-1.3793248326366412</v>
      </c>
    </row>
    <row r="83" spans="2:13" ht="12.75">
      <c r="B83" s="11">
        <f t="shared" si="27"/>
        <v>1.1185467369471285</v>
      </c>
      <c r="E83" s="11">
        <f t="shared" si="28"/>
        <v>0.12113751363567381</v>
      </c>
      <c r="F83" s="21">
        <v>0</v>
      </c>
      <c r="G83" s="4">
        <f t="shared" si="29"/>
        <v>-12.923926635898388</v>
      </c>
      <c r="H83" s="4">
        <f t="shared" si="30"/>
        <v>14.627169563301198</v>
      </c>
      <c r="I83" s="45">
        <f t="shared" si="10"/>
        <v>14.627169563301198</v>
      </c>
      <c r="J83" s="44">
        <f t="shared" si="11"/>
        <v>25.04454309735889</v>
      </c>
      <c r="K83" s="5">
        <f t="shared" si="26"/>
        <v>-0.38511736098041693</v>
      </c>
      <c r="L83" s="9">
        <f t="shared" si="12"/>
        <v>-1.318768024071264</v>
      </c>
      <c r="M83" s="9">
        <f t="shared" si="13"/>
        <v>-1.318768024071264</v>
      </c>
    </row>
    <row r="84" spans="2:13" ht="12.75">
      <c r="B84" s="11">
        <f t="shared" si="27"/>
        <v>1.2185467369471286</v>
      </c>
      <c r="E84" s="11">
        <f t="shared" si="28"/>
        <v>0.12113751363567381</v>
      </c>
      <c r="F84" s="21">
        <v>0</v>
      </c>
      <c r="G84" s="4">
        <f t="shared" si="29"/>
        <v>-12.402951196542379</v>
      </c>
      <c r="H84" s="4">
        <f t="shared" si="30"/>
        <v>13.360825671679159</v>
      </c>
      <c r="I84" s="45">
        <f t="shared" si="10"/>
        <v>13.360825671679159</v>
      </c>
      <c r="J84" s="44">
        <f t="shared" si="11"/>
        <v>26.44394285910791</v>
      </c>
      <c r="K84" s="5">
        <f t="shared" si="26"/>
        <v>-0.3213209927322015</v>
      </c>
      <c r="L84" s="9">
        <f t="shared" si="12"/>
        <v>-1.265607264953304</v>
      </c>
      <c r="M84" s="9">
        <f t="shared" si="13"/>
        <v>-1.265607264953304</v>
      </c>
    </row>
    <row r="85" spans="2:13" ht="12.75">
      <c r="B85" s="11">
        <f t="shared" si="27"/>
        <v>1.3185467369471287</v>
      </c>
      <c r="E85" s="11">
        <f t="shared" si="28"/>
        <v>0.12113751363567381</v>
      </c>
      <c r="F85" s="21">
        <v>0</v>
      </c>
      <c r="G85" s="4">
        <f t="shared" si="29"/>
        <v>-11.946038537366551</v>
      </c>
      <c r="H85" s="4">
        <f t="shared" si="30"/>
        <v>12.143376184983712</v>
      </c>
      <c r="I85" s="45">
        <f t="shared" si="10"/>
        <v>12.143376184983712</v>
      </c>
      <c r="J85" s="44">
        <f t="shared" si="11"/>
        <v>27.719152951941055</v>
      </c>
      <c r="K85" s="5">
        <f t="shared" si="26"/>
        <v>-0.2654308533060532</v>
      </c>
      <c r="L85" s="9">
        <f t="shared" si="12"/>
        <v>-1.2189835242210765</v>
      </c>
      <c r="M85" s="9">
        <f t="shared" si="13"/>
        <v>-1.2189835242210765</v>
      </c>
    </row>
    <row r="86" spans="2:13" ht="12.75">
      <c r="B86" s="11">
        <f t="shared" si="27"/>
        <v>1.4185467369471287</v>
      </c>
      <c r="E86" s="11">
        <f t="shared" si="28"/>
        <v>0.12113751363567381</v>
      </c>
      <c r="F86" s="21">
        <v>0</v>
      </c>
      <c r="G86" s="4">
        <f t="shared" si="29"/>
        <v>-11.546172615665874</v>
      </c>
      <c r="H86" s="4">
        <f t="shared" si="30"/>
        <v>10.96876562733209</v>
      </c>
      <c r="I86" s="45">
        <f t="shared" si="10"/>
        <v>10.96876562733209</v>
      </c>
      <c r="J86" s="44">
        <f t="shared" si="11"/>
        <v>28.874760042556847</v>
      </c>
      <c r="K86" s="5">
        <f t="shared" si="26"/>
        <v>-0.21656487489721546</v>
      </c>
      <c r="L86" s="9">
        <f t="shared" si="12"/>
        <v>-1.178180879149579</v>
      </c>
      <c r="M86" s="9">
        <f t="shared" si="13"/>
        <v>-1.178180879149579</v>
      </c>
    </row>
    <row r="87" spans="2:13" ht="12.75">
      <c r="B87" s="11">
        <f t="shared" si="27"/>
        <v>1.5185467369471288</v>
      </c>
      <c r="E87" s="11">
        <f t="shared" si="28"/>
        <v>0.12113751363567381</v>
      </c>
      <c r="F87" s="21">
        <v>0</v>
      </c>
      <c r="G87" s="4">
        <f t="shared" si="29"/>
        <v>-11.197490804069815</v>
      </c>
      <c r="H87" s="4">
        <f t="shared" si="30"/>
        <v>9.831582456345304</v>
      </c>
      <c r="I87" s="45">
        <f t="shared" si="10"/>
        <v>9.831582456345304</v>
      </c>
      <c r="J87" s="44">
        <f t="shared" si="11"/>
        <v>29.914777446740718</v>
      </c>
      <c r="K87" s="5">
        <f t="shared" si="26"/>
        <v>-0.1739880244726502</v>
      </c>
      <c r="L87" s="9">
        <f t="shared" si="12"/>
        <v>-1.1426011024561036</v>
      </c>
      <c r="M87" s="9">
        <f t="shared" si="13"/>
        <v>-1.1426011024561036</v>
      </c>
    </row>
    <row r="88" spans="2:13" ht="12.75">
      <c r="B88" s="11">
        <f t="shared" si="27"/>
        <v>1.618546736947129</v>
      </c>
      <c r="E88" s="11">
        <f t="shared" si="28"/>
        <v>0.12113751363567381</v>
      </c>
      <c r="F88" s="21">
        <v>0</v>
      </c>
      <c r="G88" s="4">
        <f t="shared" si="29"/>
        <v>-10.895093117067375</v>
      </c>
      <c r="H88" s="4">
        <f t="shared" si="30"/>
        <v>8.726953260288443</v>
      </c>
      <c r="I88" s="45">
        <f t="shared" si="10"/>
        <v>8.726953260288443</v>
      </c>
      <c r="J88" s="44">
        <f t="shared" si="11"/>
        <v>30.842704232572405</v>
      </c>
      <c r="K88" s="5">
        <f t="shared" si="26"/>
        <v>-0.13708748377306634</v>
      </c>
      <c r="L88" s="9">
        <f t="shared" si="12"/>
        <v>-1.1117441956191199</v>
      </c>
      <c r="M88" s="9">
        <f t="shared" si="13"/>
        <v>-1.1117441956191199</v>
      </c>
    </row>
    <row r="89" spans="2:13" ht="12.75">
      <c r="B89" s="11">
        <f t="shared" si="27"/>
        <v>1.718546736947129</v>
      </c>
      <c r="E89" s="11">
        <f t="shared" si="28"/>
        <v>0.12113751363567381</v>
      </c>
      <c r="F89" s="21">
        <v>0</v>
      </c>
      <c r="G89" s="4">
        <f t="shared" si="29"/>
        <v>-10.63489119227902</v>
      </c>
      <c r="H89" s="4">
        <f t="shared" si="30"/>
        <v>7.650454044821123</v>
      </c>
      <c r="I89" s="45">
        <f t="shared" si="10"/>
        <v>7.650454044821123</v>
      </c>
      <c r="J89" s="44">
        <f t="shared" si="11"/>
        <v>31.661574597827883</v>
      </c>
      <c r="K89" s="5">
        <f t="shared" si="26"/>
        <v>-0.10535300476545577</v>
      </c>
      <c r="L89" s="9">
        <f t="shared" si="12"/>
        <v>-1.0851929788039816</v>
      </c>
      <c r="M89" s="9">
        <f t="shared" si="13"/>
        <v>-1.0851929788039816</v>
      </c>
    </row>
    <row r="90" spans="2:13" ht="12.75">
      <c r="B90" s="11">
        <f t="shared" si="27"/>
        <v>1.818546736947129</v>
      </c>
      <c r="E90" s="11">
        <f t="shared" si="28"/>
        <v>0.12113751363567381</v>
      </c>
      <c r="F90" s="21">
        <v>0</v>
      </c>
      <c r="G90" s="4">
        <f t="shared" si="29"/>
        <v>-10.41348771464871</v>
      </c>
      <c r="H90" s="4">
        <f t="shared" si="30"/>
        <v>6.598035099474735</v>
      </c>
      <c r="I90" s="45">
        <f t="shared" si="10"/>
        <v>6.598035099474735</v>
      </c>
      <c r="J90" s="44">
        <f t="shared" si="11"/>
        <v>32.373999055042674</v>
      </c>
      <c r="K90" s="5">
        <f t="shared" si="26"/>
        <v>-0.07836132091302105</v>
      </c>
      <c r="L90" s="9">
        <f t="shared" si="12"/>
        <v>-1.062600787209052</v>
      </c>
      <c r="M90" s="9">
        <f t="shared" si="13"/>
        <v>-1.062600787209052</v>
      </c>
    </row>
    <row r="91" spans="2:13" ht="12.75">
      <c r="B91" s="11">
        <f t="shared" si="27"/>
        <v>1.9185467369471292</v>
      </c>
      <c r="E91" s="11">
        <f t="shared" si="28"/>
        <v>0.12113751363567381</v>
      </c>
      <c r="F91" s="21">
        <v>0</v>
      </c>
      <c r="G91" s="4">
        <f t="shared" si="29"/>
        <v>-10.22808030883822</v>
      </c>
      <c r="H91" s="4">
        <f t="shared" si="30"/>
        <v>5.565956698300388</v>
      </c>
      <c r="I91" s="45">
        <f t="shared" si="10"/>
        <v>5.565956698300388</v>
      </c>
      <c r="J91" s="44">
        <f t="shared" si="11"/>
        <v>32.98219864493143</v>
      </c>
      <c r="K91" s="5">
        <f t="shared" si="26"/>
        <v>-0.05576377314123892</v>
      </c>
      <c r="L91" s="9">
        <f t="shared" si="12"/>
        <v>-1.0436816641671651</v>
      </c>
      <c r="M91" s="9">
        <f t="shared" si="13"/>
        <v>-1.0436816641671651</v>
      </c>
    </row>
    <row r="92" spans="2:13" ht="12.75">
      <c r="B92" s="11">
        <f t="shared" si="27"/>
        <v>2.0185467369471293</v>
      </c>
      <c r="E92" s="11">
        <f t="shared" si="28"/>
        <v>0.12113751363567381</v>
      </c>
      <c r="F92" s="21">
        <v>0</v>
      </c>
      <c r="G92" s="4">
        <f t="shared" si="29"/>
        <v>-10.076385211412141</v>
      </c>
      <c r="H92" s="4">
        <f t="shared" si="30"/>
        <v>4.55073342228787</v>
      </c>
      <c r="I92" s="45">
        <f t="shared" si="10"/>
        <v>4.55073342228787</v>
      </c>
      <c r="J92" s="44">
        <f t="shared" si="11"/>
        <v>33.488033150960845</v>
      </c>
      <c r="K92" s="5">
        <f t="shared" si="26"/>
        <v>-0.03727651442531016</v>
      </c>
      <c r="L92" s="9">
        <f t="shared" si="12"/>
        <v>-1.0282025725930755</v>
      </c>
      <c r="M92" s="9">
        <f t="shared" si="13"/>
        <v>-1.0282025725930755</v>
      </c>
    </row>
    <row r="93" spans="2:13" ht="12.75">
      <c r="B93" s="11">
        <f t="shared" si="27"/>
        <v>2.1185467369471294</v>
      </c>
      <c r="E93" s="11">
        <f t="shared" si="28"/>
        <v>0.12113751363567381</v>
      </c>
      <c r="F93" s="21">
        <v>0</v>
      </c>
      <c r="G93" s="4">
        <f t="shared" si="29"/>
        <v>-9.956577130911512</v>
      </c>
      <c r="H93" s="4">
        <f t="shared" si="30"/>
        <v>3.549085305171686</v>
      </c>
      <c r="I93" s="45">
        <f t="shared" si="10"/>
        <v>3.549085305171686</v>
      </c>
      <c r="J93" s="44">
        <f t="shared" si="11"/>
        <v>33.89302408733382</v>
      </c>
      <c r="K93" s="5">
        <f t="shared" si="26"/>
        <v>-0.022672811706094077</v>
      </c>
      <c r="L93" s="9">
        <f t="shared" si="12"/>
        <v>-1.0159772582562767</v>
      </c>
      <c r="M93" s="9">
        <f t="shared" si="13"/>
        <v>-1.0159772582562767</v>
      </c>
    </row>
    <row r="94" spans="2:13" ht="12.75">
      <c r="B94" s="11">
        <f t="shared" si="27"/>
        <v>2.2185467369471294</v>
      </c>
      <c r="E94" s="11">
        <f t="shared" si="28"/>
        <v>0.12113751363567381</v>
      </c>
      <c r="F94" s="21">
        <v>0</v>
      </c>
      <c r="G94" s="4">
        <f t="shared" si="29"/>
        <v>-9.86724257489065</v>
      </c>
      <c r="H94" s="4">
        <f t="shared" si="30"/>
        <v>2.557894319881577</v>
      </c>
      <c r="I94" s="45">
        <f t="shared" si="10"/>
        <v>2.557894319881577</v>
      </c>
      <c r="J94" s="44">
        <f t="shared" si="11"/>
        <v>34.198373068586484</v>
      </c>
      <c r="K94" s="5">
        <f t="shared" si="26"/>
        <v>-0.011777082033028382</v>
      </c>
      <c r="L94" s="9">
        <f t="shared" si="12"/>
        <v>-1.0068614872337398</v>
      </c>
      <c r="M94" s="9">
        <f t="shared" si="13"/>
        <v>-1.0068614872337398</v>
      </c>
    </row>
    <row r="95" spans="2:13" ht="12.75">
      <c r="B95" s="11">
        <f t="shared" si="27"/>
        <v>2.3185467369471295</v>
      </c>
      <c r="E95" s="11">
        <f t="shared" si="28"/>
        <v>0.12113751363567381</v>
      </c>
      <c r="F95" s="21">
        <v>0</v>
      </c>
      <c r="G95" s="4">
        <f t="shared" si="29"/>
        <v>-9.80734460299969</v>
      </c>
      <c r="H95" s="4">
        <f t="shared" si="30"/>
        <v>1.5741649609870592</v>
      </c>
      <c r="I95" s="45">
        <f t="shared" si="10"/>
        <v>1.5741649609870592</v>
      </c>
      <c r="J95" s="44">
        <f t="shared" si="11"/>
        <v>34.40497603262992</v>
      </c>
      <c r="K95" s="5">
        <f t="shared" si="26"/>
        <v>-0.004460391583918901</v>
      </c>
      <c r="L95" s="9">
        <f t="shared" si="12"/>
        <v>-1.0007494492856825</v>
      </c>
      <c r="M95" s="9">
        <f t="shared" si="13"/>
        <v>-1.0007494492856825</v>
      </c>
    </row>
    <row r="96" spans="2:13" ht="12.75">
      <c r="B96" s="11">
        <f t="shared" si="27"/>
        <v>2.4185467369471296</v>
      </c>
      <c r="E96" s="11">
        <f t="shared" si="28"/>
        <v>0.12113751363567381</v>
      </c>
      <c r="F96" s="21">
        <v>0</v>
      </c>
      <c r="G96" s="4">
        <f t="shared" si="29"/>
        <v>-9.776197509456745</v>
      </c>
      <c r="H96" s="4">
        <f t="shared" si="30"/>
        <v>0.5949878553642366</v>
      </c>
      <c r="I96" s="45">
        <f t="shared" si="10"/>
        <v>0.5949878553642366</v>
      </c>
      <c r="J96" s="44">
        <f t="shared" si="11"/>
        <v>34.51343367344748</v>
      </c>
      <c r="K96" s="5">
        <f t="shared" si="26"/>
        <v>-0.0006372189864556806</v>
      </c>
      <c r="L96" s="9">
        <f t="shared" si="12"/>
        <v>-0.9975711744343617</v>
      </c>
      <c r="M96" s="9">
        <f t="shared" si="13"/>
        <v>-0.9975711744343617</v>
      </c>
    </row>
    <row r="97" spans="2:13" ht="12.75">
      <c r="B97" s="11">
        <f t="shared" si="27"/>
        <v>2.5185467369471297</v>
      </c>
      <c r="E97" s="11">
        <f t="shared" si="28"/>
        <v>0.12113751363567381</v>
      </c>
      <c r="F97" s="21">
        <v>0</v>
      </c>
      <c r="G97" s="4">
        <f t="shared" si="29"/>
        <v>-9.773450386574938</v>
      </c>
      <c r="H97" s="4">
        <f t="shared" si="30"/>
        <v>-0.38249453943734846</v>
      </c>
      <c r="I97" s="45">
        <f t="shared" si="10"/>
        <v>-0.38249453943734846</v>
      </c>
      <c r="J97" s="44">
        <f t="shared" si="11"/>
        <v>34.52405833924382</v>
      </c>
      <c r="K97" s="5">
        <f t="shared" si="26"/>
        <v>0.00026334373085890077</v>
      </c>
      <c r="L97" s="9">
        <f t="shared" si="12"/>
        <v>-0.9972908557729527</v>
      </c>
      <c r="M97" s="9">
        <f t="shared" si="13"/>
        <v>-0.9972908557729527</v>
      </c>
    </row>
    <row r="98" spans="2:13" ht="12.75">
      <c r="B98" s="11">
        <f t="shared" si="27"/>
        <v>2.61854673694713</v>
      </c>
      <c r="E98" s="11">
        <f t="shared" si="28"/>
        <v>0.12113751363567381</v>
      </c>
      <c r="F98" s="21">
        <v>0</v>
      </c>
      <c r="G98" s="4">
        <f t="shared" si="29"/>
        <v>-9.790300779598555</v>
      </c>
      <c r="H98" s="4">
        <f t="shared" si="30"/>
        <v>-1.3606820977460239</v>
      </c>
      <c r="I98" s="45">
        <f t="shared" si="10"/>
        <v>-1.3606820977460239</v>
      </c>
      <c r="J98" s="44">
        <f t="shared" si="11"/>
        <v>34.43689950738465</v>
      </c>
      <c r="K98" s="5">
        <f t="shared" si="26"/>
        <v>0.0033326203880277364</v>
      </c>
      <c r="L98" s="9">
        <f t="shared" si="12"/>
        <v>-0.9990102836325055</v>
      </c>
      <c r="M98" s="9">
        <f t="shared" si="13"/>
        <v>-0.9990102836325055</v>
      </c>
    </row>
    <row r="99" spans="2:13" ht="12.75">
      <c r="B99" s="11">
        <f t="shared" si="27"/>
        <v>2.71854673694713</v>
      </c>
      <c r="E99" s="11">
        <f t="shared" si="28"/>
        <v>0.12113751363567381</v>
      </c>
      <c r="F99" s="21">
        <v>0</v>
      </c>
      <c r="G99" s="4">
        <f t="shared" si="29"/>
        <v>-9.746650857956697</v>
      </c>
      <c r="H99" s="4">
        <f t="shared" si="30"/>
        <v>-2.3375296796237874</v>
      </c>
      <c r="I99" s="45">
        <f t="shared" si="10"/>
        <v>-2.3375296796237874</v>
      </c>
      <c r="J99" s="44">
        <f t="shared" si="11"/>
        <v>34.25198891851616</v>
      </c>
      <c r="K99" s="5">
        <f aca="true" t="shared" si="31" ref="K99:K122">-0.5*$I$5*$I$4*$I$3*ABS(H99)*H99</f>
        <v>0.009835281005619754</v>
      </c>
      <c r="L99" s="9">
        <f t="shared" si="12"/>
        <v>-0.9945562099955813</v>
      </c>
      <c r="M99" s="9">
        <f t="shared" si="13"/>
        <v>-0.9945562099955813</v>
      </c>
    </row>
    <row r="100" spans="2:13" ht="12.75">
      <c r="B100" s="11">
        <f t="shared" si="27"/>
        <v>2.81854673694713</v>
      </c>
      <c r="E100" s="11">
        <f t="shared" si="28"/>
        <v>0.12113751363567381</v>
      </c>
      <c r="F100" s="21">
        <v>0</v>
      </c>
      <c r="G100" s="4">
        <f t="shared" si="29"/>
        <v>-9.663850486473235</v>
      </c>
      <c r="H100" s="4">
        <f t="shared" si="30"/>
        <v>-3.308054746845285</v>
      </c>
      <c r="I100" s="45">
        <f aca="true" t="shared" si="32" ref="I100:I122">IF(J100&lt;=0,0,H100)</f>
        <v>-3.308054746845285</v>
      </c>
      <c r="J100" s="44">
        <f aca="true" t="shared" si="33" ref="J100:J122">MAX(+J99+0.5*(H99+H100)*(B100-B99),0)</f>
        <v>33.969709697192705</v>
      </c>
      <c r="K100" s="5">
        <f t="shared" si="31"/>
        <v>0.01969780717462612</v>
      </c>
      <c r="L100" s="9">
        <f aca="true" t="shared" si="34" ref="L100:L122">+G100/$I$7</f>
        <v>-0.9861071924972689</v>
      </c>
      <c r="M100" s="9">
        <f aca="true" t="shared" si="35" ref="M100:M122">IF(ISBLANK(J100),"",IF(J100&gt;0,L100,(I100-I99)/(B100-B99)/$I$7))</f>
        <v>-0.9861071924972689</v>
      </c>
    </row>
    <row r="101" spans="2:13" ht="12.75">
      <c r="B101" s="11">
        <f t="shared" si="27"/>
        <v>2.91854673694713</v>
      </c>
      <c r="E101" s="11">
        <f t="shared" si="28"/>
        <v>0.12113751363567381</v>
      </c>
      <c r="F101" s="21">
        <v>0</v>
      </c>
      <c r="G101" s="4">
        <f t="shared" si="29"/>
        <v>-9.553663888803063</v>
      </c>
      <c r="H101" s="4">
        <f t="shared" si="30"/>
        <v>-4.268930465609101</v>
      </c>
      <c r="I101" s="45">
        <f t="shared" si="32"/>
        <v>-4.268930465609101</v>
      </c>
      <c r="J101" s="44">
        <f t="shared" si="33"/>
        <v>33.59086043656998</v>
      </c>
      <c r="K101" s="5">
        <f t="shared" si="31"/>
        <v>0.03280278117636996</v>
      </c>
      <c r="L101" s="9">
        <f t="shared" si="34"/>
        <v>-0.9748636621227615</v>
      </c>
      <c r="M101" s="9">
        <f t="shared" si="35"/>
        <v>-0.9748636621227615</v>
      </c>
    </row>
    <row r="102" spans="2:13" ht="12.75">
      <c r="B102" s="11">
        <f t="shared" si="27"/>
        <v>3.01854673694713</v>
      </c>
      <c r="E102" s="11">
        <f t="shared" si="28"/>
        <v>0.12113751363567381</v>
      </c>
      <c r="F102" s="21">
        <v>0</v>
      </c>
      <c r="G102" s="4">
        <f t="shared" si="29"/>
        <v>-9.417435373515719</v>
      </c>
      <c r="H102" s="4">
        <f t="shared" si="30"/>
        <v>-5.21748542872504</v>
      </c>
      <c r="I102" s="45">
        <f t="shared" si="32"/>
        <v>-5.21748542872504</v>
      </c>
      <c r="J102" s="44">
        <f t="shared" si="33"/>
        <v>33.11653964185327</v>
      </c>
      <c r="K102" s="5">
        <f t="shared" si="31"/>
        <v>0.04899987755812461</v>
      </c>
      <c r="L102" s="9">
        <f t="shared" si="34"/>
        <v>-0.9609627932158896</v>
      </c>
      <c r="M102" s="9">
        <f t="shared" si="35"/>
        <v>-0.9609627932158896</v>
      </c>
    </row>
    <row r="103" spans="2:13" ht="12.75">
      <c r="B103" s="11">
        <f t="shared" si="27"/>
        <v>3.1185467369471302</v>
      </c>
      <c r="E103" s="11">
        <f t="shared" si="28"/>
        <v>0.12113751363567381</v>
      </c>
      <c r="F103" s="21">
        <v>0</v>
      </c>
      <c r="G103" s="4">
        <f t="shared" si="29"/>
        <v>-9.25669188383434</v>
      </c>
      <c r="H103" s="4">
        <f t="shared" si="30"/>
        <v>-6.151191791592544</v>
      </c>
      <c r="I103" s="45">
        <f t="shared" si="32"/>
        <v>-6.151191791592544</v>
      </c>
      <c r="J103" s="44">
        <f t="shared" si="33"/>
        <v>32.54810578083739</v>
      </c>
      <c r="K103" s="5">
        <f t="shared" si="31"/>
        <v>0.06810688882251989</v>
      </c>
      <c r="L103" s="9">
        <f t="shared" si="34"/>
        <v>-0.9445603963096265</v>
      </c>
      <c r="M103" s="9">
        <f t="shared" si="35"/>
        <v>-0.9445603963096265</v>
      </c>
    </row>
    <row r="104" spans="2:13" ht="12.75">
      <c r="B104" s="11">
        <f t="shared" si="27"/>
        <v>3.2185467369471303</v>
      </c>
      <c r="E104" s="11">
        <f t="shared" si="28"/>
        <v>0.12113751363567381</v>
      </c>
      <c r="F104" s="21">
        <v>0</v>
      </c>
      <c r="G104" s="4">
        <f t="shared" si="29"/>
        <v>-9.073217499275708</v>
      </c>
      <c r="H104" s="4">
        <f t="shared" si="30"/>
        <v>-7.067687260748047</v>
      </c>
      <c r="I104" s="45">
        <f t="shared" si="32"/>
        <v>-7.067687260748047</v>
      </c>
      <c r="J104" s="44">
        <f t="shared" si="33"/>
        <v>31.887161828220357</v>
      </c>
      <c r="K104" s="5">
        <f t="shared" si="31"/>
        <v>0.08991396578833243</v>
      </c>
      <c r="L104" s="9">
        <f t="shared" si="34"/>
        <v>-0.9258385203342558</v>
      </c>
      <c r="M104" s="9">
        <f t="shared" si="35"/>
        <v>-0.9258385203342558</v>
      </c>
    </row>
    <row r="105" spans="2:13" ht="12.75">
      <c r="B105" s="11">
        <f t="shared" si="27"/>
        <v>3.3185467369471304</v>
      </c>
      <c r="E105" s="11">
        <f t="shared" si="28"/>
        <v>0.12113751363567381</v>
      </c>
      <c r="F105" s="21">
        <v>0</v>
      </c>
      <c r="G105" s="4">
        <f t="shared" si="29"/>
        <v>-8.868991310382127</v>
      </c>
      <c r="H105" s="4">
        <f t="shared" si="30"/>
        <v>-7.96479770123094</v>
      </c>
      <c r="I105" s="45">
        <f t="shared" si="32"/>
        <v>-7.96479770123094</v>
      </c>
      <c r="J105" s="44">
        <f t="shared" si="33"/>
        <v>31.135537580121408</v>
      </c>
      <c r="K105" s="5">
        <f t="shared" si="31"/>
        <v>0.1141884043587606</v>
      </c>
      <c r="L105" s="9">
        <f t="shared" si="34"/>
        <v>-0.9049991133042986</v>
      </c>
      <c r="M105" s="9">
        <f t="shared" si="35"/>
        <v>-0.9049991133042986</v>
      </c>
    </row>
    <row r="106" spans="2:13" ht="12.75">
      <c r="B106" s="11">
        <f t="shared" si="27"/>
        <v>3.4185467369471305</v>
      </c>
      <c r="E106" s="11">
        <f t="shared" si="28"/>
        <v>0.12113751363567381</v>
      </c>
      <c r="F106" s="21">
        <v>0</v>
      </c>
      <c r="G106" s="4">
        <f t="shared" si="29"/>
        <v>-8.646142975590095</v>
      </c>
      <c r="H106" s="4">
        <f t="shared" si="30"/>
        <v>-8.840554415529551</v>
      </c>
      <c r="I106" s="45">
        <f t="shared" si="32"/>
        <v>-8.840554415529551</v>
      </c>
      <c r="J106" s="44">
        <f t="shared" si="33"/>
        <v>30.295269974283382</v>
      </c>
      <c r="K106" s="5">
        <f t="shared" si="31"/>
        <v>0.14067972427309028</v>
      </c>
      <c r="L106" s="9">
        <f t="shared" si="34"/>
        <v>-0.8822594873051117</v>
      </c>
      <c r="M106" s="9">
        <f t="shared" si="35"/>
        <v>-0.8822594873051117</v>
      </c>
    </row>
    <row r="107" spans="2:13" ht="12.75">
      <c r="B107" s="11">
        <f t="shared" si="27"/>
        <v>3.5185467369471306</v>
      </c>
      <c r="E107" s="11">
        <f t="shared" si="28"/>
        <v>0.12113751363567381</v>
      </c>
      <c r="F107" s="21">
        <v>0</v>
      </c>
      <c r="G107" s="4">
        <f t="shared" si="29"/>
        <v>-8.406907965104834</v>
      </c>
      <c r="H107" s="4">
        <f>+H106+0.5*(G106+G107)*(B107-B106)</f>
        <v>-9.693206962564298</v>
      </c>
      <c r="I107" s="45">
        <f t="shared" si="32"/>
        <v>-9.693206962564298</v>
      </c>
      <c r="J107" s="44">
        <f t="shared" si="33"/>
        <v>29.36858190537869</v>
      </c>
      <c r="K107" s="5">
        <f t="shared" si="31"/>
        <v>0.169124870194389</v>
      </c>
      <c r="L107" s="9">
        <f t="shared" si="34"/>
        <v>-0.8578477515413095</v>
      </c>
      <c r="M107" s="9">
        <f t="shared" si="35"/>
        <v>-0.8578477515413095</v>
      </c>
    </row>
    <row r="108" spans="2:13" ht="12.75">
      <c r="B108" s="11">
        <f t="shared" si="27"/>
        <v>3.6185467369471307</v>
      </c>
      <c r="E108" s="11">
        <f t="shared" si="28"/>
        <v>0.12113751363567381</v>
      </c>
      <c r="F108" s="21">
        <v>0</v>
      </c>
      <c r="G108" s="4">
        <f t="shared" si="29"/>
        <v>-8.153583199035936</v>
      </c>
      <c r="H108" s="4">
        <f>+H107+0.5*(G107+G108)*(B108-B107)</f>
        <v>-10.521231520771337</v>
      </c>
      <c r="I108" s="45">
        <f t="shared" si="32"/>
        <v>-10.521231520771337</v>
      </c>
      <c r="J108" s="44">
        <f t="shared" si="33"/>
        <v>28.357859981211906</v>
      </c>
      <c r="K108" s="5">
        <f t="shared" si="31"/>
        <v>0.19925336288461024</v>
      </c>
      <c r="L108" s="9">
        <f t="shared" si="34"/>
        <v>-0.8319982856159117</v>
      </c>
      <c r="M108" s="9">
        <f t="shared" si="35"/>
        <v>-0.8319982856159117</v>
      </c>
    </row>
    <row r="109" spans="2:13" ht="12.75">
      <c r="B109" s="11">
        <f t="shared" si="27"/>
        <v>3.718546736947131</v>
      </c>
      <c r="E109" s="11">
        <f t="shared" si="28"/>
        <v>0.12113751363567381</v>
      </c>
      <c r="F109" s="21">
        <v>0</v>
      </c>
      <c r="G109" s="4">
        <f t="shared" si="29"/>
        <v>-7.888484536876405</v>
      </c>
      <c r="H109" s="4">
        <f>+H108+0.5*(G108+G109)*(B109-B108)</f>
        <v>-11.323334907566956</v>
      </c>
      <c r="I109" s="45">
        <f t="shared" si="32"/>
        <v>-11.323334907566956</v>
      </c>
      <c r="J109" s="44">
        <f t="shared" si="33"/>
        <v>27.26563165979499</v>
      </c>
      <c r="K109" s="5">
        <f t="shared" si="31"/>
        <v>0.23079224417206384</v>
      </c>
      <c r="L109" s="9">
        <f t="shared" si="34"/>
        <v>-0.804947401722082</v>
      </c>
      <c r="M109" s="9">
        <f t="shared" si="35"/>
        <v>-0.804947401722082</v>
      </c>
    </row>
    <row r="110" spans="2:13" ht="12.75">
      <c r="B110" s="11">
        <f t="shared" si="27"/>
        <v>3.818546736947131</v>
      </c>
      <c r="E110" s="11">
        <f t="shared" si="28"/>
        <v>0.12113751363567381</v>
      </c>
      <c r="F110" s="21">
        <v>0</v>
      </c>
      <c r="G110" s="4">
        <f t="shared" si="29"/>
        <v>-7.613907287837355</v>
      </c>
      <c r="H110" s="4">
        <f>+H109+0.5*(G109+G110)*(B110-B109)</f>
        <v>-12.098454498802644</v>
      </c>
      <c r="I110" s="45">
        <f t="shared" si="32"/>
        <v>-12.098454498802644</v>
      </c>
      <c r="J110" s="44">
        <f t="shared" si="33"/>
        <v>26.09454218947651</v>
      </c>
      <c r="K110" s="5">
        <f t="shared" si="31"/>
        <v>0.26347068226727627</v>
      </c>
      <c r="L110" s="9">
        <f t="shared" si="34"/>
        <v>-0.7769293150854444</v>
      </c>
      <c r="M110" s="9">
        <f t="shared" si="35"/>
        <v>-0.7769293150854444</v>
      </c>
    </row>
    <row r="111" spans="2:13" ht="12.75">
      <c r="B111" s="11">
        <f t="shared" si="27"/>
        <v>3.918546736947131</v>
      </c>
      <c r="E111" s="11">
        <f t="shared" si="28"/>
        <v>0.12113751363567381</v>
      </c>
      <c r="F111" s="21">
        <v>0</v>
      </c>
      <c r="G111" s="4">
        <f t="shared" si="29"/>
        <v>-7.332090663645928</v>
      </c>
      <c r="H111" s="4">
        <f aca="true" t="shared" si="36" ref="H111:H122">+H110+0.5*(G110+G111)*(B111-B110)</f>
        <v>-12.845754396376808</v>
      </c>
      <c r="I111" s="45">
        <f t="shared" si="32"/>
        <v>-12.845754396376808</v>
      </c>
      <c r="J111" s="44">
        <f t="shared" si="33"/>
        <v>24.847331744717536</v>
      </c>
      <c r="K111" s="5">
        <f t="shared" si="31"/>
        <v>0.29702413082166135</v>
      </c>
      <c r="L111" s="9">
        <f t="shared" si="34"/>
        <v>-0.7481725166985641</v>
      </c>
      <c r="M111" s="9">
        <f t="shared" si="35"/>
        <v>-0.7481725166985641</v>
      </c>
    </row>
    <row r="112" spans="2:13" ht="12.75">
      <c r="B112" s="11">
        <f t="shared" si="27"/>
        <v>4.018546736947131</v>
      </c>
      <c r="E112" s="11">
        <f t="shared" si="28"/>
        <v>0.12113751363567381</v>
      </c>
      <c r="F112" s="21">
        <v>0</v>
      </c>
      <c r="G112" s="4">
        <f t="shared" si="29"/>
        <v>-7.045186838532947</v>
      </c>
      <c r="H112" s="4">
        <f t="shared" si="36"/>
        <v>-13.564618271485749</v>
      </c>
      <c r="I112" s="45">
        <f t="shared" si="32"/>
        <v>-13.564618271485749</v>
      </c>
      <c r="J112" s="44">
        <f t="shared" si="33"/>
        <v>23.52681311132441</v>
      </c>
      <c r="K112" s="5">
        <f t="shared" si="31"/>
        <v>0.33119796393202505</v>
      </c>
      <c r="L112" s="9">
        <f t="shared" si="34"/>
        <v>-0.7188966161768313</v>
      </c>
      <c r="M112" s="9">
        <f t="shared" si="35"/>
        <v>-0.7188966161768313</v>
      </c>
    </row>
    <row r="113" spans="2:13" ht="12.75">
      <c r="B113" s="11">
        <f t="shared" si="27"/>
        <v>4.11854673694713</v>
      </c>
      <c r="E113" s="11">
        <f t="shared" si="28"/>
        <v>0.12113751363567381</v>
      </c>
      <c r="F113" s="21">
        <v>0</v>
      </c>
      <c r="G113" s="4">
        <f t="shared" si="29"/>
        <v>-6.755235024646761</v>
      </c>
      <c r="H113" s="4">
        <f t="shared" si="36"/>
        <v>-14.254639364644731</v>
      </c>
      <c r="I113" s="45">
        <f t="shared" si="32"/>
        <v>-14.254639364644731</v>
      </c>
      <c r="J113" s="44">
        <f t="shared" si="33"/>
        <v>22.135850229517892</v>
      </c>
      <c r="K113" s="5">
        <f t="shared" si="31"/>
        <v>0.3657505381489425</v>
      </c>
      <c r="L113" s="9">
        <f t="shared" si="34"/>
        <v>-0.6893096963925266</v>
      </c>
      <c r="M113" s="9">
        <f t="shared" si="35"/>
        <v>-0.6893096963925266</v>
      </c>
    </row>
    <row r="114" spans="2:13" ht="12.75">
      <c r="B114" s="11">
        <f t="shared" si="27"/>
        <v>4.21854673694713</v>
      </c>
      <c r="E114" s="11">
        <f t="shared" si="28"/>
        <v>0.12113751363567381</v>
      </c>
      <c r="F114" s="21">
        <v>0</v>
      </c>
      <c r="G114" s="4">
        <f t="shared" si="29"/>
        <v>-6.464140730284502</v>
      </c>
      <c r="H114" s="4">
        <f t="shared" si="36"/>
        <v>-14.915608152391293</v>
      </c>
      <c r="I114" s="45">
        <f t="shared" si="32"/>
        <v>-14.915608152391293</v>
      </c>
      <c r="J114" s="44">
        <f t="shared" si="33"/>
        <v>20.677337853666096</v>
      </c>
      <c r="K114" s="5">
        <f t="shared" si="31"/>
        <v>0.4004556598002269</v>
      </c>
      <c r="L114" s="9">
        <f t="shared" si="34"/>
        <v>-0.6596061969678062</v>
      </c>
      <c r="M114" s="9">
        <f t="shared" si="35"/>
        <v>-0.6596061969678062</v>
      </c>
    </row>
    <row r="115" spans="2:13" ht="12.75">
      <c r="B115" s="11">
        <f t="shared" si="27"/>
        <v>4.3185467369471295</v>
      </c>
      <c r="E115" s="11">
        <f t="shared" si="28"/>
        <v>0.12113751363567381</v>
      </c>
      <c r="F115" s="21">
        <v>0</v>
      </c>
      <c r="G115" s="4">
        <f t="shared" si="29"/>
        <v>-6.17366015457074</v>
      </c>
      <c r="H115" s="4">
        <f t="shared" si="36"/>
        <v>-15.547498196634052</v>
      </c>
      <c r="I115" s="45">
        <f t="shared" si="32"/>
        <v>-15.547498196634052</v>
      </c>
      <c r="J115" s="44">
        <f t="shared" si="33"/>
        <v>19.154182536214833</v>
      </c>
      <c r="K115" s="5">
        <f t="shared" si="31"/>
        <v>0.4351044603138104</v>
      </c>
      <c r="L115" s="9">
        <f t="shared" si="34"/>
        <v>-0.6299653218949735</v>
      </c>
      <c r="M115" s="9">
        <f t="shared" si="35"/>
        <v>-0.6299653218949735</v>
      </c>
    </row>
    <row r="116" spans="2:13" ht="12.75">
      <c r="B116" s="11">
        <f t="shared" si="27"/>
        <v>4.418546736947129</v>
      </c>
      <c r="E116" s="11">
        <f t="shared" si="28"/>
        <v>0.12113751363567381</v>
      </c>
      <c r="F116" s="21">
        <v>0</v>
      </c>
      <c r="G116" s="4">
        <f t="shared" si="29"/>
        <v>-5.885389493105052</v>
      </c>
      <c r="H116" s="4">
        <f t="shared" si="36"/>
        <v>-16.15045067901784</v>
      </c>
      <c r="I116" s="45">
        <f t="shared" si="32"/>
        <v>-16.15045067901784</v>
      </c>
      <c r="J116" s="44">
        <f t="shared" si="33"/>
        <v>17.569285092432246</v>
      </c>
      <c r="K116" s="5">
        <f t="shared" si="31"/>
        <v>0.4695067028436981</v>
      </c>
      <c r="L116" s="9">
        <f t="shared" si="34"/>
        <v>-0.6005499482760257</v>
      </c>
      <c r="M116" s="9">
        <f t="shared" si="35"/>
        <v>-0.6005499482760257</v>
      </c>
    </row>
    <row r="117" spans="2:13" ht="12.75">
      <c r="B117" s="11">
        <f t="shared" si="27"/>
        <v>4.518546736947129</v>
      </c>
      <c r="E117" s="11">
        <f t="shared" si="28"/>
        <v>0.12113751363567381</v>
      </c>
      <c r="F117" s="21">
        <v>0</v>
      </c>
      <c r="G117" s="4">
        <f t="shared" si="29"/>
        <v>-5.600758788553452</v>
      </c>
      <c r="H117" s="4">
        <f t="shared" si="36"/>
        <v>-16.724758093100764</v>
      </c>
      <c r="I117" s="45">
        <f t="shared" si="32"/>
        <v>-16.724758093100764</v>
      </c>
      <c r="J117" s="44">
        <f t="shared" si="33"/>
        <v>15.925524653826322</v>
      </c>
      <c r="K117" s="5">
        <f t="shared" si="31"/>
        <v>0.5034915598909311</v>
      </c>
      <c r="L117" s="9">
        <f t="shared" si="34"/>
        <v>-0.5715059988319848</v>
      </c>
      <c r="M117" s="9">
        <f t="shared" si="35"/>
        <v>-0.5715059988319848</v>
      </c>
    </row>
    <row r="118" spans="2:13" ht="12.75">
      <c r="B118" s="11">
        <f t="shared" si="27"/>
        <v>4.6185467369471285</v>
      </c>
      <c r="E118" s="11">
        <f t="shared" si="28"/>
        <v>0.12113751363567381</v>
      </c>
      <c r="F118" s="21">
        <v>0</v>
      </c>
      <c r="G118" s="4">
        <f t="shared" si="29"/>
        <v>-5.321029858848633</v>
      </c>
      <c r="H118" s="4">
        <f t="shared" si="36"/>
        <v>-17.270847525470867</v>
      </c>
      <c r="I118" s="45">
        <f t="shared" si="32"/>
        <v>-17.270847525470867</v>
      </c>
      <c r="J118" s="44">
        <f t="shared" si="33"/>
        <v>14.225744372897747</v>
      </c>
      <c r="K118" s="5">
        <f t="shared" si="31"/>
        <v>0.5369079136465137</v>
      </c>
      <c r="L118" s="9">
        <f t="shared" si="34"/>
        <v>-0.5429622304947584</v>
      </c>
      <c r="M118" s="9">
        <f t="shared" si="35"/>
        <v>-0.5429622304947584</v>
      </c>
    </row>
    <row r="119" spans="2:13" ht="12.75">
      <c r="B119" s="11">
        <f t="shared" si="27"/>
        <v>4.718546736947128</v>
      </c>
      <c r="E119" s="11">
        <f t="shared" si="28"/>
        <v>0.12113751363567381</v>
      </c>
      <c r="F119" s="21">
        <v>0</v>
      </c>
      <c r="G119" s="4">
        <f t="shared" si="29"/>
        <v>-5.047297771649198</v>
      </c>
      <c r="H119" s="4">
        <f t="shared" si="36"/>
        <v>-17.789263906995757</v>
      </c>
      <c r="I119" s="45">
        <f t="shared" si="32"/>
        <v>-17.789263906995757</v>
      </c>
      <c r="J119" s="44">
        <f t="shared" si="33"/>
        <v>12.472738801274422</v>
      </c>
      <c r="K119" s="5">
        <f t="shared" si="31"/>
        <v>0.5696242386349355</v>
      </c>
      <c r="L119" s="9">
        <f t="shared" si="34"/>
        <v>-0.515030384862163</v>
      </c>
      <c r="M119" s="9">
        <f t="shared" si="35"/>
        <v>-0.515030384862163</v>
      </c>
    </row>
    <row r="120" spans="2:13" ht="12.75">
      <c r="B120" s="11">
        <f t="shared" si="27"/>
        <v>4.818546736947128</v>
      </c>
      <c r="E120" s="11">
        <f t="shared" si="28"/>
        <v>0.12113751363567381</v>
      </c>
      <c r="F120" s="21">
        <v>0</v>
      </c>
      <c r="G120" s="4">
        <f t="shared" si="29"/>
        <v>-4.780495303138689</v>
      </c>
      <c r="H120" s="4">
        <f t="shared" si="36"/>
        <v>-18.28065356073515</v>
      </c>
      <c r="I120" s="45">
        <f t="shared" si="32"/>
        <v>-18.28065356073515</v>
      </c>
      <c r="J120" s="44">
        <f t="shared" si="33"/>
        <v>10.669242927887884</v>
      </c>
      <c r="K120" s="5">
        <f t="shared" si="31"/>
        <v>0.6015281302937137</v>
      </c>
      <c r="L120" s="9">
        <f t="shared" si="34"/>
        <v>-0.48780564317741726</v>
      </c>
      <c r="M120" s="9">
        <f t="shared" si="35"/>
        <v>-0.48780564317741726</v>
      </c>
    </row>
    <row r="121" spans="2:13" ht="12.75">
      <c r="B121" s="11">
        <f t="shared" si="27"/>
        <v>4.918546736947127</v>
      </c>
      <c r="E121" s="11">
        <f t="shared" si="28"/>
        <v>0.12113751363567381</v>
      </c>
      <c r="F121" s="21">
        <v>0</v>
      </c>
      <c r="G121" s="4">
        <f t="shared" si="29"/>
        <v>-4.521399817062568</v>
      </c>
      <c r="H121" s="4">
        <f t="shared" si="36"/>
        <v>-18.74574831674521</v>
      </c>
      <c r="I121" s="45">
        <f t="shared" si="32"/>
        <v>-18.74574831674521</v>
      </c>
      <c r="J121" s="44">
        <f t="shared" si="33"/>
        <v>8.817922834013872</v>
      </c>
      <c r="K121" s="5">
        <f t="shared" si="31"/>
        <v>0.6325255439185605</v>
      </c>
      <c r="L121" s="9">
        <f t="shared" si="34"/>
        <v>-0.46136732827169064</v>
      </c>
      <c r="M121" s="9">
        <f t="shared" si="35"/>
        <v>-0.46136732827169064</v>
      </c>
    </row>
    <row r="122" spans="2:13" ht="12.75">
      <c r="B122" s="11">
        <f t="shared" si="27"/>
        <v>5.018546736947127</v>
      </c>
      <c r="E122" s="11">
        <f t="shared" si="28"/>
        <v>0.12113751363567381</v>
      </c>
      <c r="F122" s="21">
        <v>0</v>
      </c>
      <c r="G122" s="4">
        <f t="shared" si="29"/>
        <v>-4.270642020471605</v>
      </c>
      <c r="H122" s="4">
        <f t="shared" si="36"/>
        <v>-19.185350408621918</v>
      </c>
      <c r="I122" s="45">
        <f t="shared" si="32"/>
        <v>-19.185350408621918</v>
      </c>
      <c r="J122" s="44">
        <f t="shared" si="33"/>
        <v>6.921367897745522</v>
      </c>
      <c r="K122" s="5">
        <f t="shared" si="31"/>
        <v>0.6625398065428966</v>
      </c>
      <c r="L122" s="9">
        <f t="shared" si="34"/>
        <v>-0.43577979800730665</v>
      </c>
      <c r="M122" s="9">
        <f t="shared" si="35"/>
        <v>-0.43577979800730665</v>
      </c>
    </row>
    <row r="123" spans="2:12" ht="12.75">
      <c r="B123" s="11"/>
      <c r="F123" s="5"/>
      <c r="G123" s="4"/>
      <c r="H123" s="4"/>
      <c r="I123" s="4"/>
      <c r="J123" s="4"/>
      <c r="K123" s="5"/>
      <c r="L123" s="9"/>
    </row>
    <row r="124" ht="12.75">
      <c r="L124" s="9"/>
    </row>
    <row r="125" spans="1:12" ht="12.75">
      <c r="A125" t="s">
        <v>58</v>
      </c>
      <c r="B125" s="2">
        <f>B122</f>
        <v>5.018546736947127</v>
      </c>
      <c r="H125" s="39" t="s">
        <v>59</v>
      </c>
      <c r="I125" s="4">
        <f>MAX(I10:I122)</f>
        <v>32.5745662758676</v>
      </c>
      <c r="J125" s="4">
        <f>MAX(J10:J122)</f>
        <v>34.52405833924382</v>
      </c>
      <c r="L125" s="9"/>
    </row>
    <row r="126" spans="8:12" ht="12.75">
      <c r="H126" s="39" t="s">
        <v>60</v>
      </c>
      <c r="I126" s="4">
        <f>MIN(I11:I122)</f>
        <v>-19.185350408621918</v>
      </c>
      <c r="L126" s="9"/>
    </row>
    <row r="127" ht="12.75">
      <c r="L127" s="9"/>
    </row>
    <row r="128" spans="8:12" ht="12.75">
      <c r="H128" t="s">
        <v>61</v>
      </c>
      <c r="I128" s="4">
        <f>ROUNDUP(I125,-1)</f>
        <v>40</v>
      </c>
      <c r="J128" s="4">
        <f>ROUNDUP(J125,-1)</f>
        <v>40</v>
      </c>
      <c r="K128" s="4">
        <f>MAX(I128:J128)</f>
        <v>40</v>
      </c>
      <c r="L128" s="9"/>
    </row>
    <row r="129" spans="9:12" ht="12.75">
      <c r="I129" s="4">
        <f>ROUNDUP(I126,-1)</f>
        <v>-20</v>
      </c>
      <c r="L129" s="9"/>
    </row>
    <row r="130" ht="12.75">
      <c r="L130" s="9"/>
    </row>
    <row r="131" spans="2:12" ht="12.75">
      <c r="B131" s="11"/>
      <c r="F131" s="5"/>
      <c r="G131" s="4"/>
      <c r="H131" s="4"/>
      <c r="I131" s="4"/>
      <c r="J131" s="4"/>
      <c r="K131" s="5"/>
      <c r="L131" s="9"/>
    </row>
    <row r="132" spans="2:12" ht="12.75">
      <c r="B132" s="11"/>
      <c r="F132" s="5"/>
      <c r="G132" s="4"/>
      <c r="H132" s="4"/>
      <c r="I132" s="4"/>
      <c r="J132" s="4"/>
      <c r="K132" s="5"/>
      <c r="L132" s="9"/>
    </row>
    <row r="133" spans="2:12" ht="12.75">
      <c r="B133" s="11"/>
      <c r="F133" s="5"/>
      <c r="G133" s="4"/>
      <c r="H133" s="4"/>
      <c r="I133" s="4"/>
      <c r="J133" s="4"/>
      <c r="K133" s="5"/>
      <c r="L133" s="9"/>
    </row>
    <row r="134" spans="2:12" ht="12.75">
      <c r="B134" s="11"/>
      <c r="F134" s="5"/>
      <c r="G134" s="4"/>
      <c r="H134" s="4"/>
      <c r="I134" s="4"/>
      <c r="J134" s="4"/>
      <c r="K134" s="5"/>
      <c r="L134" s="9"/>
    </row>
    <row r="135" spans="2:12" ht="12.75">
      <c r="B135" s="11"/>
      <c r="F135" s="5"/>
      <c r="G135" s="4"/>
      <c r="H135" s="4"/>
      <c r="I135" s="4"/>
      <c r="J135" s="4"/>
      <c r="K135" s="5"/>
      <c r="L135" s="9"/>
    </row>
    <row r="136" spans="2:12" ht="12.75">
      <c r="B136" s="11"/>
      <c r="F136" s="5"/>
      <c r="G136" s="4"/>
      <c r="H136" s="4"/>
      <c r="I136" s="4"/>
      <c r="J136" s="4"/>
      <c r="K136" s="5"/>
      <c r="L136" s="9"/>
    </row>
    <row r="137" spans="2:12" ht="12.75">
      <c r="B137" s="11"/>
      <c r="F137" s="5"/>
      <c r="G137" s="4"/>
      <c r="H137" s="4"/>
      <c r="I137" s="4"/>
      <c r="J137" s="4"/>
      <c r="K137" s="5"/>
      <c r="L137" s="9"/>
    </row>
    <row r="138" spans="2:12" ht="12.75">
      <c r="B138" s="11"/>
      <c r="F138" s="5"/>
      <c r="G138" s="4"/>
      <c r="H138" s="4"/>
      <c r="I138" s="4"/>
      <c r="J138" s="4"/>
      <c r="K138" s="5"/>
      <c r="L138" s="9"/>
    </row>
    <row r="139" spans="2:12" ht="12.75">
      <c r="B139" s="11"/>
      <c r="F139" s="5"/>
      <c r="G139" s="4"/>
      <c r="H139" s="4"/>
      <c r="I139" s="4"/>
      <c r="J139" s="4"/>
      <c r="K139" s="5"/>
      <c r="L139" s="9"/>
    </row>
    <row r="140" spans="2:12" ht="12.75">
      <c r="B140" s="11"/>
      <c r="F140" s="5"/>
      <c r="G140" s="4"/>
      <c r="H140" s="4"/>
      <c r="I140" s="4"/>
      <c r="J140" s="4"/>
      <c r="K140" s="5"/>
      <c r="L140" s="9"/>
    </row>
    <row r="141" spans="2:12" ht="12.75">
      <c r="B141" s="11"/>
      <c r="F141" s="5"/>
      <c r="G141" s="4"/>
      <c r="H141" s="4"/>
      <c r="I141" s="4"/>
      <c r="J141" s="4"/>
      <c r="K141" s="5"/>
      <c r="L141" s="9"/>
    </row>
    <row r="142" spans="2:12" ht="12.75">
      <c r="B142" s="11"/>
      <c r="F142" s="5"/>
      <c r="G142" s="4"/>
      <c r="H142" s="4"/>
      <c r="I142" s="4"/>
      <c r="J142" s="4"/>
      <c r="K142" s="5"/>
      <c r="L142" s="9"/>
    </row>
    <row r="143" spans="2:12" ht="12.75">
      <c r="B143" s="11"/>
      <c r="F143" s="5"/>
      <c r="G143" s="4"/>
      <c r="H143" s="4"/>
      <c r="I143" s="4"/>
      <c r="J143" s="4"/>
      <c r="K143" s="5"/>
      <c r="L143" s="9"/>
    </row>
    <row r="144" spans="2:12" ht="12.75">
      <c r="B144" s="11"/>
      <c r="F144" s="5"/>
      <c r="G144" s="4"/>
      <c r="H144" s="4"/>
      <c r="I144" s="4"/>
      <c r="J144" s="4"/>
      <c r="K144" s="5"/>
      <c r="L144" s="9"/>
    </row>
    <row r="145" spans="2:12" ht="12.75">
      <c r="B145" s="11"/>
      <c r="F145" s="5"/>
      <c r="G145" s="4"/>
      <c r="H145" s="4"/>
      <c r="I145" s="4"/>
      <c r="J145" s="4"/>
      <c r="K145" s="5"/>
      <c r="L145" s="9"/>
    </row>
    <row r="146" spans="2:12" ht="12.75">
      <c r="B146" s="11"/>
      <c r="F146" s="5"/>
      <c r="G146" s="4"/>
      <c r="H146" s="4"/>
      <c r="I146" s="4"/>
      <c r="J146" s="4"/>
      <c r="K146" s="5"/>
      <c r="L146" s="9"/>
    </row>
    <row r="147" spans="2:12" ht="12.75">
      <c r="B147" s="11"/>
      <c r="F147" s="5"/>
      <c r="G147" s="4"/>
      <c r="H147" s="4"/>
      <c r="I147" s="4"/>
      <c r="J147" s="4"/>
      <c r="K147" s="5"/>
      <c r="L147" s="9"/>
    </row>
    <row r="148" spans="2:12" ht="12.75">
      <c r="B148" s="11"/>
      <c r="F148" s="5"/>
      <c r="G148" s="4"/>
      <c r="H148" s="4"/>
      <c r="I148" s="4"/>
      <c r="J148" s="4"/>
      <c r="K148" s="5"/>
      <c r="L148" s="9"/>
    </row>
    <row r="149" spans="2:12" ht="12.75">
      <c r="B149" s="11"/>
      <c r="F149" s="5"/>
      <c r="G149" s="4"/>
      <c r="H149" s="4"/>
      <c r="I149" s="4"/>
      <c r="J149" s="4"/>
      <c r="K149" s="5"/>
      <c r="L149" s="9"/>
    </row>
    <row r="150" spans="2:12" ht="12.75">
      <c r="B150" s="11"/>
      <c r="F150" s="5"/>
      <c r="G150" s="4"/>
      <c r="H150" s="4"/>
      <c r="I150" s="4"/>
      <c r="J150" s="4"/>
      <c r="K150" s="5"/>
      <c r="L150" s="9"/>
    </row>
    <row r="151" spans="2:12" ht="12.75">
      <c r="B151" s="11"/>
      <c r="F151" s="5"/>
      <c r="G151" s="4"/>
      <c r="H151" s="4"/>
      <c r="I151" s="4"/>
      <c r="J151" s="4"/>
      <c r="K151" s="5"/>
      <c r="L151" s="9"/>
    </row>
    <row r="152" ht="12.75">
      <c r="L152" s="8"/>
    </row>
    <row r="153" ht="12.75">
      <c r="L153" s="8"/>
    </row>
    <row r="154" ht="12.75">
      <c r="L154" s="8"/>
    </row>
    <row r="155" ht="12.75">
      <c r="L155" s="8"/>
    </row>
  </sheetData>
  <sheetProtection sheet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36"/>
  <sheetViews>
    <sheetView workbookViewId="0" topLeftCell="A1">
      <selection activeCell="H19" sqref="H19"/>
    </sheetView>
  </sheetViews>
  <sheetFormatPr defaultColWidth="9.140625" defaultRowHeight="12.75"/>
  <sheetData>
    <row r="1" spans="1:19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NIELSEN</dc:creator>
  <cp:keywords/>
  <dc:description/>
  <cp:lastModifiedBy>Peter Nielsen</cp:lastModifiedBy>
  <cp:lastPrinted>2000-11-28T00:21:58Z</cp:lastPrinted>
  <dcterms:created xsi:type="dcterms:W3CDTF">1997-04-08T05:36:52Z</dcterms:created>
  <dcterms:modified xsi:type="dcterms:W3CDTF">2010-09-19T20:14:59Z</dcterms:modified>
  <cp:category/>
  <cp:version/>
  <cp:contentType/>
  <cp:contentStatus/>
</cp:coreProperties>
</file>